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300" windowWidth="22100" windowHeight="14160" tabRatio="500" activeTab="0"/>
  </bookViews>
  <sheets>
    <sheet name="Forsendur og niðurstöður" sheetId="1" r:id="rId1"/>
    <sheet name="útreikningar" sheetId="2" r:id="rId2"/>
  </sheets>
  <definedNames>
    <definedName name="EURGBP">#REF!</definedName>
    <definedName name="interest">#REF!</definedName>
    <definedName name="ISKEUR">#REF!</definedName>
    <definedName name="_xlnm.Print_Area" localSheetId="1">'útreikningar'!$A$1:$M$85</definedName>
    <definedName name="recovery">'Forsendur og niðurstöður'!$B$20</definedName>
    <definedName name="Samtals">'Forsendur og niðurstöður'!$B$35</definedName>
  </definedNames>
  <calcPr fullCalcOnLoad="1"/>
</workbook>
</file>

<file path=xl/sharedStrings.xml><?xml version="1.0" encoding="utf-8"?>
<sst xmlns="http://schemas.openxmlformats.org/spreadsheetml/2006/main" count="83" uniqueCount="79">
  <si>
    <t>slitastjórn Landsbankans hefur sagt opinberlega að ekkert verði greitt út fyrr en öll dómsmál hafa verið til lykta leidd. Þar með er ólíklegt að neinar greiðslur eigi sér stað á árinu 2010.</t>
  </si>
  <si>
    <t>Samanburður við mannfjölda</t>
  </si>
  <si>
    <t>Gengisbreyting frá í dag i %</t>
  </si>
  <si>
    <t>Spá um fjölgun breta og hollendinga á ári</t>
  </si>
  <si>
    <t>árlegur vöxtur útgjalda</t>
  </si>
  <si>
    <t>Samtals</t>
  </si>
  <si>
    <t>Hvað er hægt að reka stofnanirnar í mörg ár fyrir kostnaðinn</t>
  </si>
  <si>
    <t>Samanburður við hagstærðir (miljónir)</t>
  </si>
  <si>
    <t>ß</t>
  </si>
  <si>
    <t>Í breska samningnum segir að vextir miðist við útborgunardaga (disbursement date).  Í hollenska samningnum segir að vextir skulu reiknast frá 1. janúar 2009.</t>
  </si>
  <si>
    <t>Assume all payments are at the end of each year.</t>
  </si>
  <si>
    <t>Payments from Landsbanki to creditors</t>
  </si>
  <si>
    <t>First payment to creditors</t>
  </si>
  <si>
    <t>End of year 2010</t>
  </si>
  <si>
    <t>Payment to TIF</t>
  </si>
  <si>
    <t>It is assumed that all payments for claims that the Icelandidc Deposit Guarantee Fund (TIF) assumes are used to reduce the outstanding principal of the loan and are paid directly.</t>
  </si>
  <si>
    <t>TIF receives 51% of all payments to priority creditors of Landsbanki Islands hf.</t>
  </si>
  <si>
    <t>payments to creditors</t>
  </si>
  <si>
    <t>net paid to UK and NL</t>
  </si>
  <si>
    <t>Upphæð láns</t>
  </si>
  <si>
    <t>gengi í útreikningum</t>
  </si>
  <si>
    <t>(vænting skilanefndar 88.2%)</t>
  </si>
  <si>
    <t>For payments that are defined as "later" it is assumed these are over a 5 year period starting 2015. For ease of calculation it is assumed that the payments to creditors are quarterly after 2016.</t>
  </si>
  <si>
    <t>Gengi (ath að inheimta er föst í kónum, en endirgreiðslur á gengi hvers dags)</t>
  </si>
  <si>
    <t>% af forgangskröfum</t>
  </si>
  <si>
    <t>Vænt endurheimta úr búi LI</t>
  </si>
  <si>
    <t>billions of krona</t>
  </si>
  <si>
    <t>greiðslur í milljörðum á föstu verðlagi</t>
  </si>
  <si>
    <t>Landsspítali</t>
  </si>
  <si>
    <t>Háskóli Íslands</t>
  </si>
  <si>
    <t>Mannfjöldaspá hagstofu</t>
  </si>
  <si>
    <t>á mann á íslandu</t>
  </si>
  <si>
    <t>á mann í Bretlandi og Hollandi</t>
  </si>
  <si>
    <t>(vextir í samningi 5.55%)</t>
  </si>
  <si>
    <t>Collection in million kr</t>
  </si>
  <si>
    <t>to Iceland</t>
  </si>
  <si>
    <t>No payout is expected until all lawsuits are settled, which may delay the payout even further.</t>
  </si>
  <si>
    <t>100 % recovery</t>
  </si>
  <si>
    <t>Assumed recovery</t>
  </si>
  <si>
    <t>Jón Danielsson</t>
  </si>
  <si>
    <t>Repayments on the loan start 5.6.2016</t>
  </si>
  <si>
    <t>Interest Period starts</t>
  </si>
  <si>
    <t>First Anniversary Date</t>
  </si>
  <si>
    <t>End of Anniversary Date Period</t>
  </si>
  <si>
    <t>útreikningar á Icesave kostnaði</t>
  </si>
  <si>
    <t>Fylgir grein í Morgunblaðinu 15 janúar 2010</t>
  </si>
  <si>
    <t>Mikilvægar forsendur</t>
  </si>
  <si>
    <t>vextir</t>
  </si>
  <si>
    <t>erlend mynt</t>
  </si>
  <si>
    <t>Gengi 22.4.2009</t>
  </si>
  <si>
    <t>samtals</t>
  </si>
  <si>
    <t>billion ISK</t>
  </si>
  <si>
    <t>Total obligation for Icelanders</t>
  </si>
  <si>
    <t>Background calculation using current assumptions</t>
  </si>
  <si>
    <t>Calculation of principal amount using current assumptions</t>
  </si>
  <si>
    <t>PV of total payments using current assumptions</t>
  </si>
  <si>
    <t>Payments to TIF are 51% of total collection of assets paid to priority creditors of Landsbanki Islands hf.</t>
  </si>
  <si>
    <t>TOTAL YEARLY PAYMENTS</t>
  </si>
  <si>
    <t>Source for exchange rate: (page 47)  http://lbi.is/Uploads/document/LBI_skyrsla_um_greidslustodvun_021209.pdf this is fixed at 22.04.2009 according to bankruptcy law.</t>
  </si>
  <si>
    <t>Priority claims</t>
  </si>
  <si>
    <t>later</t>
  </si>
  <si>
    <t>Annual interest</t>
  </si>
  <si>
    <t>principal</t>
  </si>
  <si>
    <t>sum</t>
  </si>
  <si>
    <t xml:space="preserve"> </t>
  </si>
  <si>
    <t xml:space="preserve"> </t>
  </si>
  <si>
    <t>Loan at the start of the year</t>
  </si>
  <si>
    <t>Loan at the end of the year</t>
  </si>
  <si>
    <t>repayment</t>
  </si>
  <si>
    <t>interest</t>
  </si>
  <si>
    <t>total paid</t>
  </si>
  <si>
    <t>TOTAL</t>
  </si>
  <si>
    <t>source:  http://www.althingi.is/pdf/umsogn.php4?lthing=138&amp;malnr=76&amp;dbnr=842&amp;nefnd=v</t>
  </si>
  <si>
    <t>Loan amount is assumed to represent exactly the claims of retail depositors for UK and Dutch Icesave accounts, EUR 20,877 and GBP 16,872.99 per person</t>
  </si>
  <si>
    <t>Loan agreement source:  http://www.island.is/endurreisn/stjornvold/adgerdir-stjornvalda/samantekt-adgerda/icesave-samningurinn/skjol-vegna-icesave-samningsins/</t>
  </si>
  <si>
    <t>source: (page 50) http://lbi.is/Uploads/document/LBI_skyrsla_um_greidslustodvun_021209.pdf</t>
  </si>
  <si>
    <t>ISK ma</t>
  </si>
  <si>
    <t>Gengi SÍ 14.1.2010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</si>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</sst>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"/>
    <numFmt numFmtId="169" formatCode="_-* #,##0_-;\-* #,##0_-;_-* &quot;-&quot;??_-;_-@_-"/>
    <numFmt numFmtId="170" formatCode="0.0%"/>
    <numFmt numFmtId="171" formatCode="0.0000"/>
    <numFmt numFmtId="172" formatCode="#,##0\ [$kr.-40F]"/>
    <numFmt numFmtId="173" formatCode="[$€-413]\ #,##0_-"/>
    <numFmt numFmtId="174" formatCode="#,##0.00\ [$kr.-40F]"/>
    <numFmt numFmtId="175" formatCode="_-* #,##0.0_-;\-* #,##0.0_-;_-* &quot;-&quot;??_-;_-@_-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sz val="8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166" fontId="0" fillId="0" borderId="0" xfId="15" applyFont="1" applyAlignment="1">
      <alignment/>
    </xf>
    <xf numFmtId="169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9" fontId="0" fillId="0" borderId="0" xfId="15" applyNumberFormat="1" applyFon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9" fontId="0" fillId="0" borderId="1" xfId="15" applyNumberFormat="1" applyFont="1" applyBorder="1" applyAlignment="1">
      <alignment horizontal="right"/>
    </xf>
    <xf numFmtId="169" fontId="0" fillId="0" borderId="0" xfId="15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69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9" fontId="0" fillId="0" borderId="0" xfId="19" applyFont="1" applyAlignment="1">
      <alignment/>
    </xf>
    <xf numFmtId="172" fontId="1" fillId="2" borderId="0" xfId="15" applyNumberFormat="1" applyFont="1" applyFill="1" applyAlignment="1">
      <alignment/>
    </xf>
    <xf numFmtId="17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169" fontId="1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 horizontal="center"/>
    </xf>
    <xf numFmtId="172" fontId="0" fillId="4" borderId="0" xfId="0" applyNumberFormat="1" applyFill="1" applyAlignment="1">
      <alignment/>
    </xf>
    <xf numFmtId="0" fontId="0" fillId="4" borderId="3" xfId="0" applyFill="1" applyBorder="1" applyAlignment="1">
      <alignment horizontal="center"/>
    </xf>
    <xf numFmtId="0" fontId="0" fillId="4" borderId="0" xfId="0" applyFont="1" applyFill="1" applyAlignment="1">
      <alignment/>
    </xf>
    <xf numFmtId="9" fontId="4" fillId="4" borderId="0" xfId="19" applyFont="1" applyFill="1" applyAlignment="1">
      <alignment/>
    </xf>
    <xf numFmtId="172" fontId="0" fillId="4" borderId="3" xfId="0" applyNumberFormat="1" applyFill="1" applyBorder="1" applyAlignment="1">
      <alignment/>
    </xf>
    <xf numFmtId="9" fontId="6" fillId="4" borderId="0" xfId="19" applyFont="1" applyFill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4" borderId="0" xfId="0" applyFill="1" applyBorder="1" applyAlignment="1">
      <alignment horizontal="center"/>
    </xf>
    <xf numFmtId="172" fontId="0" fillId="4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168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4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Fill="1" applyAlignment="1">
      <alignment wrapText="1"/>
    </xf>
    <xf numFmtId="170" fontId="0" fillId="0" borderId="0" xfId="19" applyNumberFormat="1" applyFont="1" applyFill="1" applyAlignment="1">
      <alignment/>
    </xf>
    <xf numFmtId="0" fontId="1" fillId="4" borderId="9" xfId="0" applyFont="1" applyFill="1" applyBorder="1" applyAlignment="1">
      <alignment wrapText="1"/>
    </xf>
    <xf numFmtId="170" fontId="0" fillId="4" borderId="10" xfId="19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4" borderId="9" xfId="0" applyFont="1" applyFill="1" applyBorder="1" applyAlignment="1">
      <alignment/>
    </xf>
    <xf numFmtId="10" fontId="0" fillId="4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2" xfId="0" applyFont="1" applyFill="1" applyBorder="1" applyAlignment="1">
      <alignment/>
    </xf>
    <xf numFmtId="10" fontId="0" fillId="0" borderId="6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1" fillId="0" borderId="13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1" fillId="4" borderId="13" xfId="0" applyFont="1" applyFill="1" applyBorder="1" applyAlignment="1">
      <alignment wrapText="1"/>
    </xf>
    <xf numFmtId="0" fontId="0" fillId="4" borderId="13" xfId="0" applyFont="1" applyFill="1" applyBorder="1" applyAlignment="1">
      <alignment/>
    </xf>
    <xf numFmtId="0" fontId="0" fillId="4" borderId="0" xfId="0" applyFill="1" applyBorder="1" applyAlignment="1">
      <alignment/>
    </xf>
    <xf numFmtId="0" fontId="1" fillId="4" borderId="13" xfId="0" applyFont="1" applyFill="1" applyBorder="1" applyAlignment="1">
      <alignment/>
    </xf>
    <xf numFmtId="172" fontId="0" fillId="4" borderId="0" xfId="0" applyNumberFormat="1" applyFont="1" applyFill="1" applyBorder="1" applyAlignment="1">
      <alignment/>
    </xf>
    <xf numFmtId="172" fontId="0" fillId="4" borderId="8" xfId="0" applyNumberFormat="1" applyFill="1" applyBorder="1" applyAlignment="1">
      <alignment/>
    </xf>
    <xf numFmtId="0" fontId="0" fillId="4" borderId="14" xfId="0" applyFont="1" applyFill="1" applyBorder="1" applyAlignment="1">
      <alignment/>
    </xf>
    <xf numFmtId="172" fontId="0" fillId="4" borderId="15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172" fontId="1" fillId="4" borderId="17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/>
    </xf>
    <xf numFmtId="10" fontId="0" fillId="4" borderId="17" xfId="0" applyNumberFormat="1" applyFill="1" applyBorder="1" applyAlignment="1">
      <alignment horizontal="center" wrapText="1"/>
    </xf>
    <xf numFmtId="0" fontId="0" fillId="4" borderId="17" xfId="0" applyFill="1" applyBorder="1" applyAlignment="1">
      <alignment wrapText="1"/>
    </xf>
    <xf numFmtId="172" fontId="10" fillId="4" borderId="18" xfId="0" applyNumberFormat="1" applyFont="1" applyFill="1" applyBorder="1" applyAlignment="1">
      <alignment/>
    </xf>
    <xf numFmtId="9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6" xfId="0" applyFill="1" applyBorder="1" applyAlignment="1">
      <alignment wrapText="1"/>
    </xf>
    <xf numFmtId="172" fontId="0" fillId="4" borderId="13" xfId="0" applyNumberFormat="1" applyFont="1" applyFill="1" applyBorder="1" applyAlignment="1">
      <alignment/>
    </xf>
    <xf numFmtId="172" fontId="0" fillId="4" borderId="16" xfId="0" applyNumberFormat="1" applyFont="1" applyFill="1" applyBorder="1" applyAlignment="1">
      <alignment/>
    </xf>
    <xf numFmtId="172" fontId="0" fillId="4" borderId="17" xfId="0" applyNumberFormat="1" applyFont="1" applyFill="1" applyBorder="1" applyAlignment="1">
      <alignment/>
    </xf>
    <xf numFmtId="167" fontId="0" fillId="4" borderId="21" xfId="17" applyFont="1" applyFill="1" applyBorder="1" applyAlignment="1">
      <alignment horizontal="right"/>
    </xf>
    <xf numFmtId="173" fontId="0" fillId="4" borderId="19" xfId="15" applyNumberFormat="1" applyFont="1" applyFill="1" applyBorder="1" applyAlignment="1">
      <alignment horizontal="right"/>
    </xf>
    <xf numFmtId="0" fontId="0" fillId="4" borderId="22" xfId="0" applyFont="1" applyFill="1" applyBorder="1" applyAlignment="1">
      <alignment horizontal="center" wrapText="1"/>
    </xf>
    <xf numFmtId="0" fontId="0" fillId="4" borderId="9" xfId="0" applyFill="1" applyBorder="1" applyAlignment="1">
      <alignment horizontal="right" wrapText="1"/>
    </xf>
    <xf numFmtId="0" fontId="0" fillId="4" borderId="10" xfId="0" applyFill="1" applyBorder="1" applyAlignment="1">
      <alignment horizontal="right" wrapText="1"/>
    </xf>
    <xf numFmtId="0" fontId="0" fillId="4" borderId="11" xfId="0" applyFill="1" applyBorder="1" applyAlignment="1">
      <alignment horizontal="right" wrapText="1"/>
    </xf>
    <xf numFmtId="0" fontId="0" fillId="4" borderId="11" xfId="0" applyFont="1" applyFill="1" applyBorder="1" applyAlignment="1">
      <alignment horizontal="right" wrapText="1"/>
    </xf>
    <xf numFmtId="0" fontId="0" fillId="4" borderId="1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6" xfId="0" applyFill="1" applyBorder="1" applyAlignment="1">
      <alignment wrapText="1"/>
    </xf>
    <xf numFmtId="9" fontId="0" fillId="4" borderId="17" xfId="0" applyNumberFormat="1" applyFill="1" applyBorder="1" applyAlignment="1">
      <alignment wrapText="1"/>
    </xf>
    <xf numFmtId="0" fontId="0" fillId="4" borderId="18" xfId="0" applyFill="1" applyBorder="1" applyAlignment="1">
      <alignment wrapText="1"/>
    </xf>
    <xf numFmtId="169" fontId="0" fillId="4" borderId="13" xfId="15" applyNumberFormat="1" applyFont="1" applyFill="1" applyBorder="1" applyAlignment="1" applyProtection="1">
      <alignment horizontal="right"/>
      <protection locked="0"/>
    </xf>
    <xf numFmtId="169" fontId="0" fillId="4" borderId="0" xfId="15" applyNumberFormat="1" applyFont="1" applyFill="1" applyBorder="1" applyAlignment="1">
      <alignment/>
    </xf>
    <xf numFmtId="172" fontId="0" fillId="4" borderId="0" xfId="0" applyNumberFormat="1" applyFill="1" applyBorder="1" applyAlignment="1">
      <alignment/>
    </xf>
    <xf numFmtId="172" fontId="0" fillId="4" borderId="8" xfId="0" applyNumberFormat="1" applyFill="1" applyBorder="1" applyAlignment="1">
      <alignment/>
    </xf>
    <xf numFmtId="169" fontId="0" fillId="4" borderId="14" xfId="15" applyNumberFormat="1" applyFont="1" applyFill="1" applyBorder="1" applyAlignment="1" applyProtection="1">
      <alignment horizontal="right"/>
      <protection locked="0"/>
    </xf>
    <xf numFmtId="169" fontId="0" fillId="4" borderId="3" xfId="15" applyNumberFormat="1" applyFont="1" applyFill="1" applyBorder="1" applyAlignment="1">
      <alignment/>
    </xf>
    <xf numFmtId="172" fontId="0" fillId="4" borderId="3" xfId="0" applyNumberFormat="1" applyFill="1" applyBorder="1" applyAlignment="1">
      <alignment/>
    </xf>
    <xf numFmtId="172" fontId="0" fillId="4" borderId="15" xfId="0" applyNumberFormat="1" applyFill="1" applyBorder="1" applyAlignment="1">
      <alignment/>
    </xf>
    <xf numFmtId="0" fontId="0" fillId="4" borderId="6" xfId="0" applyFont="1" applyFill="1" applyBorder="1" applyAlignment="1">
      <alignment/>
    </xf>
    <xf numFmtId="172" fontId="0" fillId="4" borderId="0" xfId="0" applyNumberFormat="1" applyFill="1" applyBorder="1" applyAlignment="1">
      <alignment/>
    </xf>
    <xf numFmtId="166" fontId="0" fillId="4" borderId="0" xfId="15" applyFont="1" applyFill="1" applyBorder="1" applyAlignment="1">
      <alignment/>
    </xf>
    <xf numFmtId="166" fontId="0" fillId="4" borderId="8" xfId="15" applyFont="1" applyFill="1" applyBorder="1" applyAlignment="1">
      <alignment/>
    </xf>
    <xf numFmtId="0" fontId="0" fillId="4" borderId="14" xfId="0" applyFill="1" applyBorder="1" applyAlignment="1">
      <alignment/>
    </xf>
    <xf numFmtId="172" fontId="0" fillId="4" borderId="3" xfId="0" applyNumberFormat="1" applyFill="1" applyBorder="1" applyAlignment="1">
      <alignment/>
    </xf>
    <xf numFmtId="166" fontId="0" fillId="4" borderId="3" xfId="15" applyFont="1" applyFill="1" applyBorder="1" applyAlignment="1">
      <alignment/>
    </xf>
    <xf numFmtId="166" fontId="0" fillId="4" borderId="15" xfId="15" applyFont="1" applyFill="1" applyBorder="1" applyAlignment="1">
      <alignment/>
    </xf>
    <xf numFmtId="175" fontId="10" fillId="4" borderId="17" xfId="0" applyNumberFormat="1" applyFont="1" applyFill="1" applyBorder="1" applyAlignment="1">
      <alignment/>
    </xf>
    <xf numFmtId="175" fontId="10" fillId="4" borderId="18" xfId="0" applyNumberFormat="1" applyFont="1" applyFill="1" applyBorder="1" applyAlignment="1">
      <alignment/>
    </xf>
    <xf numFmtId="172" fontId="10" fillId="4" borderId="17" xfId="0" applyNumberFormat="1" applyFont="1" applyFill="1" applyBorder="1" applyAlignment="1">
      <alignment/>
    </xf>
    <xf numFmtId="172" fontId="10" fillId="4" borderId="18" xfId="0" applyNumberFormat="1" applyFont="1" applyFill="1" applyBorder="1" applyAlignment="1">
      <alignment/>
    </xf>
    <xf numFmtId="0" fontId="10" fillId="4" borderId="0" xfId="0" applyFont="1" applyFill="1" applyAlignment="1">
      <alignment/>
    </xf>
    <xf numFmtId="172" fontId="10" fillId="4" borderId="0" xfId="0" applyNumberFormat="1" applyFont="1" applyFill="1" applyAlignment="1">
      <alignment/>
    </xf>
    <xf numFmtId="1" fontId="1" fillId="2" borderId="3" xfId="0" applyNumberFormat="1" applyFont="1" applyFill="1" applyBorder="1" applyAlignment="1">
      <alignment/>
    </xf>
    <xf numFmtId="0" fontId="1" fillId="2" borderId="12" xfId="15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1" fontId="0" fillId="0" borderId="13" xfId="0" applyNumberFormat="1" applyBorder="1" applyAlignment="1">
      <alignment/>
    </xf>
    <xf numFmtId="169" fontId="0" fillId="0" borderId="8" xfId="15" applyNumberFormat="1" applyFont="1" applyBorder="1" applyAlignment="1">
      <alignment horizontal="right"/>
    </xf>
    <xf numFmtId="1" fontId="0" fillId="0" borderId="8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74" fontId="0" fillId="0" borderId="0" xfId="0" applyNumberFormat="1" applyAlignment="1">
      <alignment/>
    </xf>
    <xf numFmtId="172" fontId="1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2">
      <selection activeCell="J25" sqref="J25"/>
    </sheetView>
  </sheetViews>
  <sheetFormatPr defaultColWidth="11.00390625" defaultRowHeight="12.75"/>
  <cols>
    <col min="1" max="1" width="16.125" style="0" customWidth="1"/>
    <col min="2" max="2" width="13.375" style="0" customWidth="1"/>
    <col min="3" max="3" width="15.125" style="0" customWidth="1"/>
    <col min="4" max="4" width="12.25390625" style="0" customWidth="1"/>
    <col min="5" max="5" width="19.75390625" style="0" customWidth="1"/>
    <col min="6" max="6" width="14.25390625" style="0" bestFit="1" customWidth="1"/>
    <col min="7" max="7" width="11.375" style="0" customWidth="1"/>
    <col min="8" max="8" width="13.125" style="0" bestFit="1" customWidth="1"/>
  </cols>
  <sheetData>
    <row r="1" ht="18">
      <c r="A1" s="41" t="s">
        <v>44</v>
      </c>
    </row>
    <row r="2" ht="18">
      <c r="A2" s="41" t="s">
        <v>39</v>
      </c>
    </row>
    <row r="3" spans="1:9" ht="18.75" thickBot="1">
      <c r="A3" s="42" t="s">
        <v>45</v>
      </c>
      <c r="B3" s="43"/>
      <c r="C3" s="43"/>
      <c r="D3" s="43"/>
      <c r="E3" s="43"/>
      <c r="F3" s="43"/>
      <c r="G3" s="43"/>
      <c r="H3" s="43"/>
      <c r="I3" s="43"/>
    </row>
    <row r="4" spans="1:9" ht="18">
      <c r="A4" s="44"/>
      <c r="B4" s="45"/>
      <c r="C4" s="45"/>
      <c r="D4" s="45"/>
      <c r="E4" s="45"/>
      <c r="F4" s="45"/>
      <c r="G4" s="45"/>
      <c r="H4" s="45"/>
      <c r="I4" s="45"/>
    </row>
    <row r="5" spans="1:9" ht="18">
      <c r="A5" s="44" t="s">
        <v>46</v>
      </c>
      <c r="B5" s="45"/>
      <c r="C5" s="45"/>
      <c r="D5" s="45" t="s">
        <v>78</v>
      </c>
      <c r="E5" s="45"/>
      <c r="F5" s="45"/>
      <c r="G5" s="45"/>
      <c r="H5" s="45"/>
      <c r="I5" s="58"/>
    </row>
    <row r="6" spans="1:8" s="58" customFormat="1" ht="18">
      <c r="A6" s="44"/>
      <c r="B6" s="45"/>
      <c r="C6" s="45"/>
      <c r="D6" s="45"/>
      <c r="E6" s="45"/>
      <c r="F6" s="45"/>
      <c r="G6" s="45"/>
      <c r="H6" s="45"/>
    </row>
    <row r="7" spans="1:8" s="58" customFormat="1" ht="12.75">
      <c r="A7" s="80" t="s">
        <v>47</v>
      </c>
      <c r="B7" s="81">
        <v>0.0555</v>
      </c>
      <c r="C7" s="82" t="s">
        <v>33</v>
      </c>
      <c r="D7" s="79"/>
      <c r="E7" s="45"/>
      <c r="F7" s="45"/>
      <c r="G7" s="45"/>
      <c r="H7" s="45"/>
    </row>
    <row r="8" ht="12.75">
      <c r="I8" s="58"/>
    </row>
    <row r="9" spans="1:6" s="58" customFormat="1" ht="12.75">
      <c r="A9" s="100"/>
      <c r="B9" s="85"/>
      <c r="C9" s="45"/>
      <c r="D9" s="45"/>
      <c r="E9" s="45"/>
      <c r="F9" s="45"/>
    </row>
    <row r="10" spans="1:6" s="58" customFormat="1" ht="25.5">
      <c r="A10" s="83"/>
      <c r="B10" s="84"/>
      <c r="C10" s="71"/>
      <c r="D10" s="71"/>
      <c r="E10" s="105" t="s">
        <v>2</v>
      </c>
      <c r="F10" s="72"/>
    </row>
    <row r="11" spans="1:6" ht="12.75">
      <c r="A11" s="86"/>
      <c r="B11" s="87"/>
      <c r="C11" s="45"/>
      <c r="D11" s="45"/>
      <c r="E11" s="104">
        <v>0</v>
      </c>
      <c r="F11" s="73"/>
    </row>
    <row r="12" spans="1:7" s="69" customFormat="1" ht="51.75">
      <c r="A12" s="88"/>
      <c r="B12" s="101"/>
      <c r="C12" s="102"/>
      <c r="D12" s="102"/>
      <c r="E12" s="106" t="s">
        <v>23</v>
      </c>
      <c r="F12" s="102"/>
      <c r="G12" s="99"/>
    </row>
    <row r="13" spans="1:6" ht="25.5">
      <c r="A13" s="89"/>
      <c r="B13" s="113" t="s">
        <v>48</v>
      </c>
      <c r="C13" s="114" t="s">
        <v>49</v>
      </c>
      <c r="D13" s="115" t="s">
        <v>77</v>
      </c>
      <c r="E13" s="116" t="s">
        <v>20</v>
      </c>
      <c r="F13" s="117" t="s">
        <v>76</v>
      </c>
    </row>
    <row r="14" spans="1:6" ht="12.75">
      <c r="A14" s="91" t="s">
        <v>19</v>
      </c>
      <c r="B14" s="111">
        <v>2350</v>
      </c>
      <c r="C14" s="108">
        <v>191.1</v>
      </c>
      <c r="D14" s="92">
        <v>201.69</v>
      </c>
      <c r="E14" s="92">
        <f>D14*(1+E$11)</f>
        <v>201.69</v>
      </c>
      <c r="F14" s="93">
        <f>+E14*B14/1000</f>
        <v>473.9715</v>
      </c>
    </row>
    <row r="15" spans="1:6" ht="13.5" thickBot="1">
      <c r="A15" s="94"/>
      <c r="B15" s="112">
        <v>1329</v>
      </c>
      <c r="C15" s="109">
        <v>169.2</v>
      </c>
      <c r="D15" s="110">
        <v>180.21</v>
      </c>
      <c r="E15" s="110">
        <f>D15*(1+E$11)</f>
        <v>180.21</v>
      </c>
      <c r="F15" s="95">
        <f>+E15*B15/1000</f>
        <v>239.49909</v>
      </c>
    </row>
    <row r="16" spans="1:10" ht="15.75">
      <c r="A16" s="96" t="s">
        <v>50</v>
      </c>
      <c r="B16" s="97"/>
      <c r="C16" s="98"/>
      <c r="D16" s="97"/>
      <c r="E16" s="98"/>
      <c r="F16" s="103">
        <f>SUM(F14:F15)</f>
        <v>713.47059</v>
      </c>
      <c r="H16">
        <v>713</v>
      </c>
      <c r="I16" s="54">
        <f>H16-F16</f>
        <v>-0.4705900000000156</v>
      </c>
      <c r="J16" s="54"/>
    </row>
    <row r="18" spans="1:3" ht="12.75">
      <c r="A18" s="39"/>
      <c r="B18" s="39"/>
      <c r="C18" s="39"/>
    </row>
    <row r="19" spans="1:3" ht="12.75">
      <c r="A19" s="39"/>
      <c r="B19" s="40"/>
      <c r="C19" s="39"/>
    </row>
    <row r="20" spans="1:4" ht="25.5">
      <c r="A20" s="76" t="s">
        <v>25</v>
      </c>
      <c r="B20" s="77">
        <v>0.882</v>
      </c>
      <c r="C20" s="78" t="s">
        <v>21</v>
      </c>
      <c r="D20" s="79"/>
    </row>
    <row r="21" spans="1:3" s="58" customFormat="1" ht="12.75">
      <c r="A21" s="74"/>
      <c r="B21" s="75"/>
      <c r="C21" s="39"/>
    </row>
    <row r="22" spans="1:13" s="58" customFormat="1" ht="15.75">
      <c r="A22" s="74"/>
      <c r="B22" s="75"/>
      <c r="C22" s="39"/>
      <c r="D22" s="161" t="s">
        <v>1</v>
      </c>
      <c r="E22" s="162"/>
      <c r="F22" s="162"/>
      <c r="G22" s="163"/>
      <c r="I22" s="166" t="s">
        <v>7</v>
      </c>
      <c r="J22" s="167"/>
      <c r="K22" s="167"/>
      <c r="L22" s="167"/>
      <c r="M22" s="168"/>
    </row>
    <row r="23" spans="1:13" ht="25.5">
      <c r="A23" s="39"/>
      <c r="B23" s="39"/>
      <c r="C23" s="39"/>
      <c r="D23" s="118"/>
      <c r="E23" s="107" t="s">
        <v>3</v>
      </c>
      <c r="F23" s="119"/>
      <c r="G23" s="120"/>
      <c r="I23" s="118" t="s">
        <v>8</v>
      </c>
      <c r="J23" s="134" t="s">
        <v>28</v>
      </c>
      <c r="K23" s="134" t="s">
        <v>29</v>
      </c>
      <c r="L23" s="119"/>
      <c r="M23" s="120"/>
    </row>
    <row r="24" spans="4:13" ht="12.75">
      <c r="D24" s="121"/>
      <c r="E24" s="90"/>
      <c r="F24" s="90"/>
      <c r="G24" s="122"/>
      <c r="I24" s="121">
        <v>2010</v>
      </c>
      <c r="J24" s="56">
        <v>32661</v>
      </c>
      <c r="K24" s="56">
        <v>9817</v>
      </c>
      <c r="L24" s="90"/>
      <c r="M24" s="122"/>
    </row>
    <row r="25" spans="2:13" s="69" customFormat="1" ht="42" customHeight="1" thickBot="1">
      <c r="B25" s="68" t="s">
        <v>27</v>
      </c>
      <c r="D25" s="123" t="s">
        <v>30</v>
      </c>
      <c r="E25" s="124">
        <v>0.01</v>
      </c>
      <c r="F25" s="102" t="s">
        <v>31</v>
      </c>
      <c r="G25" s="125" t="s">
        <v>32</v>
      </c>
      <c r="H25" s="70"/>
      <c r="I25" s="123" t="s">
        <v>4</v>
      </c>
      <c r="J25" s="124">
        <v>0.02</v>
      </c>
      <c r="K25" s="124">
        <v>0.02</v>
      </c>
      <c r="L25" s="164" t="s">
        <v>6</v>
      </c>
      <c r="M25" s="165"/>
    </row>
    <row r="26" spans="1:13" ht="12.75">
      <c r="A26" s="46">
        <v>2016</v>
      </c>
      <c r="B26" s="47">
        <f>útreikningar!B78</f>
        <v>30.05601477157206</v>
      </c>
      <c r="C26" s="61"/>
      <c r="D26" s="126">
        <v>328249</v>
      </c>
      <c r="E26" s="127">
        <f>78484977*(1+E$25)^6</f>
        <v>83313384.60495603</v>
      </c>
      <c r="F26" s="128">
        <f>1000000000*$B26/D26</f>
        <v>91564.68038462283</v>
      </c>
      <c r="G26" s="129">
        <f>1000000000*$B26/E26</f>
        <v>360.75853734772085</v>
      </c>
      <c r="H26" s="39"/>
      <c r="I26" s="121">
        <f>A26</f>
        <v>2016</v>
      </c>
      <c r="J26" s="135">
        <f>$J24*(1+J25)^6</f>
        <v>36781.590775581506</v>
      </c>
      <c r="K26" s="135">
        <f>$K24*(1+K25)^6</f>
        <v>11055.536469914688</v>
      </c>
      <c r="L26" s="136">
        <f>($B26*1000)/J26</f>
        <v>0.8171483108209009</v>
      </c>
      <c r="M26" s="137">
        <f>($B26*1000)/K26</f>
        <v>2.7186391952451303</v>
      </c>
    </row>
    <row r="27" spans="1:13" ht="12.75">
      <c r="A27" s="46">
        <v>2017</v>
      </c>
      <c r="B27" s="47">
        <f>útreikningar!B79</f>
        <v>57.38998215151475</v>
      </c>
      <c r="C27" s="61"/>
      <c r="D27" s="126">
        <v>331216</v>
      </c>
      <c r="E27" s="127">
        <f>E26*(1+E$25)</f>
        <v>84146518.4510056</v>
      </c>
      <c r="F27" s="128">
        <f aca="true" t="shared" si="0" ref="F27:F34">1000000000*$B27/D27</f>
        <v>173270.56105838713</v>
      </c>
      <c r="G27" s="129">
        <f aca="true" t="shared" si="1" ref="G27:G34">1000000000*$B27/E27</f>
        <v>682.0244403210827</v>
      </c>
      <c r="H27" s="39"/>
      <c r="I27" s="121">
        <f aca="true" t="shared" si="2" ref="I27:I34">A27</f>
        <v>2017</v>
      </c>
      <c r="J27" s="135">
        <f>J26*(1+J$25)</f>
        <v>37517.22259109314</v>
      </c>
      <c r="K27" s="135">
        <f>K26*(1+K$25)</f>
        <v>11276.647199312982</v>
      </c>
      <c r="L27" s="136">
        <f aca="true" t="shared" si="3" ref="L27:L34">($B27*1000)/J27</f>
        <v>1.52969698149083</v>
      </c>
      <c r="M27" s="137">
        <f aca="true" t="shared" si="4" ref="M27:M34">($B27*1000)/K27</f>
        <v>5.089277081844963</v>
      </c>
    </row>
    <row r="28" spans="1:13" ht="12.75">
      <c r="A28" s="46">
        <v>2018</v>
      </c>
      <c r="B28" s="47">
        <f>útreikningar!B80</f>
        <v>53.760585629342266</v>
      </c>
      <c r="C28" s="61"/>
      <c r="D28" s="126">
        <v>334183</v>
      </c>
      <c r="E28" s="127">
        <f aca="true" t="shared" si="5" ref="E28:E34">E27*(1+E$25)</f>
        <v>84987983.63551565</v>
      </c>
      <c r="F28" s="128">
        <f t="shared" si="0"/>
        <v>160871.6949376308</v>
      </c>
      <c r="G28" s="129">
        <f t="shared" si="1"/>
        <v>632.5669033389827</v>
      </c>
      <c r="H28" s="39"/>
      <c r="I28" s="121">
        <f t="shared" si="2"/>
        <v>2018</v>
      </c>
      <c r="J28" s="135">
        <f aca="true" t="shared" si="6" ref="J28:K34">J27*(1+J$25)</f>
        <v>38267.567042915</v>
      </c>
      <c r="K28" s="135">
        <f t="shared" si="6"/>
        <v>11502.180143299242</v>
      </c>
      <c r="L28" s="136">
        <f t="shared" si="3"/>
        <v>1.4048602977307831</v>
      </c>
      <c r="M28" s="137">
        <f t="shared" si="4"/>
        <v>4.673947456879404</v>
      </c>
    </row>
    <row r="29" spans="1:13" ht="12.75">
      <c r="A29" s="46">
        <v>2019</v>
      </c>
      <c r="B29" s="47">
        <f>útreikningar!B81</f>
        <v>50.13118910716978</v>
      </c>
      <c r="C29" s="61"/>
      <c r="D29" s="126">
        <v>337145</v>
      </c>
      <c r="E29" s="127">
        <f t="shared" si="5"/>
        <v>85837863.47187081</v>
      </c>
      <c r="F29" s="128">
        <f t="shared" si="0"/>
        <v>148693.25989461443</v>
      </c>
      <c r="G29" s="129">
        <f t="shared" si="1"/>
        <v>584.0218649384003</v>
      </c>
      <c r="H29" s="39"/>
      <c r="I29" s="121">
        <f t="shared" si="2"/>
        <v>2019</v>
      </c>
      <c r="J29" s="135">
        <f t="shared" si="6"/>
        <v>39032.9183837733</v>
      </c>
      <c r="K29" s="135">
        <f t="shared" si="6"/>
        <v>11732.223746165226</v>
      </c>
      <c r="L29" s="136">
        <f t="shared" si="3"/>
        <v>1.284331051403275</v>
      </c>
      <c r="M29" s="137">
        <f t="shared" si="4"/>
        <v>4.272948606486948</v>
      </c>
    </row>
    <row r="30" spans="1:13" ht="12.75">
      <c r="A30" s="46">
        <v>2020</v>
      </c>
      <c r="B30" s="47">
        <f>útreikningar!B82</f>
        <v>63.43379258499729</v>
      </c>
      <c r="C30" s="61"/>
      <c r="D30" s="126">
        <v>340095</v>
      </c>
      <c r="E30" s="127">
        <f t="shared" si="5"/>
        <v>86696242.10658953</v>
      </c>
      <c r="F30" s="128">
        <f t="shared" si="0"/>
        <v>186517.86290594478</v>
      </c>
      <c r="G30" s="129">
        <f t="shared" si="1"/>
        <v>731.6786869148032</v>
      </c>
      <c r="H30" s="39"/>
      <c r="I30" s="121">
        <f t="shared" si="2"/>
        <v>2020</v>
      </c>
      <c r="J30" s="135">
        <f t="shared" si="6"/>
        <v>39813.57675144877</v>
      </c>
      <c r="K30" s="135">
        <f t="shared" si="6"/>
        <v>11966.86822108853</v>
      </c>
      <c r="L30" s="136">
        <f t="shared" si="3"/>
        <v>1.5932703806293669</v>
      </c>
      <c r="M30" s="137">
        <f t="shared" si="4"/>
        <v>5.300784751119054</v>
      </c>
    </row>
    <row r="31" spans="1:13" ht="12.75">
      <c r="A31" s="46">
        <v>2021</v>
      </c>
      <c r="B31" s="47">
        <f>útreikningar!B83</f>
        <v>76.73639606282481</v>
      </c>
      <c r="C31" s="61"/>
      <c r="D31" s="126">
        <v>343048</v>
      </c>
      <c r="E31" s="127">
        <f t="shared" si="5"/>
        <v>87563204.52765542</v>
      </c>
      <c r="F31" s="128">
        <f t="shared" si="0"/>
        <v>223689.96776784828</v>
      </c>
      <c r="G31" s="129">
        <f t="shared" si="1"/>
        <v>876.3543599936303</v>
      </c>
      <c r="H31" s="39"/>
      <c r="I31" s="121">
        <f t="shared" si="2"/>
        <v>2021</v>
      </c>
      <c r="J31" s="135">
        <f t="shared" si="6"/>
        <v>40609.84828647774</v>
      </c>
      <c r="K31" s="135">
        <f t="shared" si="6"/>
        <v>12206.2055855103</v>
      </c>
      <c r="L31" s="136">
        <f t="shared" si="3"/>
        <v>1.8896006584781178</v>
      </c>
      <c r="M31" s="137">
        <f t="shared" si="4"/>
        <v>6.286670786039911</v>
      </c>
    </row>
    <row r="32" spans="1:13" ht="12.75">
      <c r="A32" s="46">
        <v>2022</v>
      </c>
      <c r="B32" s="47">
        <f>útreikningar!B84</f>
        <v>73.10699954065232</v>
      </c>
      <c r="C32" s="61"/>
      <c r="D32" s="126">
        <v>345980</v>
      </c>
      <c r="E32" s="127">
        <f t="shared" si="5"/>
        <v>88438836.57293198</v>
      </c>
      <c r="F32" s="128">
        <f t="shared" si="0"/>
        <v>211304.1202978563</v>
      </c>
      <c r="G32" s="129">
        <f t="shared" si="1"/>
        <v>826.6390917565261</v>
      </c>
      <c r="H32" s="39"/>
      <c r="I32" s="121">
        <f t="shared" si="2"/>
        <v>2022</v>
      </c>
      <c r="J32" s="135">
        <f t="shared" si="6"/>
        <v>41422.045252207296</v>
      </c>
      <c r="K32" s="135">
        <f t="shared" si="6"/>
        <v>12450.329697220506</v>
      </c>
      <c r="L32" s="136">
        <f t="shared" si="3"/>
        <v>1.7649297395993888</v>
      </c>
      <c r="M32" s="137">
        <f t="shared" si="4"/>
        <v>5.871892658149704</v>
      </c>
    </row>
    <row r="33" spans="1:13" ht="12.75">
      <c r="A33" s="55">
        <v>2023</v>
      </c>
      <c r="B33" s="56">
        <f>útreikningar!B85</f>
        <v>69.47760301847984</v>
      </c>
      <c r="C33" s="61"/>
      <c r="D33" s="126">
        <v>348898</v>
      </c>
      <c r="E33" s="127">
        <f t="shared" si="5"/>
        <v>89323224.93866129</v>
      </c>
      <c r="F33" s="128">
        <f t="shared" si="0"/>
        <v>199134.42616031002</v>
      </c>
      <c r="G33" s="129">
        <f t="shared" si="1"/>
        <v>777.8223756048941</v>
      </c>
      <c r="H33" s="39"/>
      <c r="I33" s="121">
        <f t="shared" si="2"/>
        <v>2023</v>
      </c>
      <c r="J33" s="135">
        <f t="shared" si="6"/>
        <v>42250.48615725144</v>
      </c>
      <c r="K33" s="135">
        <f t="shared" si="6"/>
        <v>12699.336291164916</v>
      </c>
      <c r="L33" s="136">
        <f t="shared" si="3"/>
        <v>1.6444213862981887</v>
      </c>
      <c r="M33" s="137">
        <f t="shared" si="4"/>
        <v>5.4709633185173825</v>
      </c>
    </row>
    <row r="34" spans="1:13" s="53" customFormat="1" ht="13.5" thickBot="1">
      <c r="A34" s="48">
        <v>2024</v>
      </c>
      <c r="B34" s="51">
        <f>útreikningar!B86</f>
        <v>33.37777781342524</v>
      </c>
      <c r="C34" s="61"/>
      <c r="D34" s="130">
        <v>351794</v>
      </c>
      <c r="E34" s="131">
        <f t="shared" si="5"/>
        <v>90216457.1880479</v>
      </c>
      <c r="F34" s="132">
        <f t="shared" si="0"/>
        <v>94878.7580613235</v>
      </c>
      <c r="G34" s="133">
        <f t="shared" si="1"/>
        <v>369.9743799942436</v>
      </c>
      <c r="H34" s="39"/>
      <c r="I34" s="138">
        <f t="shared" si="2"/>
        <v>2024</v>
      </c>
      <c r="J34" s="139">
        <f t="shared" si="6"/>
        <v>43095.49588039647</v>
      </c>
      <c r="K34" s="139">
        <f t="shared" si="6"/>
        <v>12953.323016988215</v>
      </c>
      <c r="L34" s="140">
        <f t="shared" si="3"/>
        <v>0.7745073384480607</v>
      </c>
      <c r="M34" s="141">
        <f t="shared" si="4"/>
        <v>2.576773370790681</v>
      </c>
    </row>
    <row r="35" spans="1:13" ht="15.75">
      <c r="A35" s="146" t="s">
        <v>5</v>
      </c>
      <c r="B35" s="147">
        <f>SUM(B26:B34)</f>
        <v>507.47034067997834</v>
      </c>
      <c r="C35" s="61"/>
      <c r="D35" s="96"/>
      <c r="E35" s="97"/>
      <c r="F35" s="144">
        <f>SUM(F26:F34)</f>
        <v>1489925.3314685381</v>
      </c>
      <c r="G35" s="145">
        <f>SUM(G26:G34)</f>
        <v>5841.840640210284</v>
      </c>
      <c r="I35" s="96"/>
      <c r="J35" s="97"/>
      <c r="K35" s="97"/>
      <c r="L35" s="142">
        <f>SUM(L26:L34)</f>
        <v>12.702766144898911</v>
      </c>
      <c r="M35" s="143">
        <f>SUM(M26:M34)</f>
        <v>42.261897225073184</v>
      </c>
    </row>
    <row r="36" spans="3:4" ht="12.75">
      <c r="C36" s="66"/>
      <c r="D36" s="67"/>
    </row>
    <row r="37" spans="3:4" ht="12.75">
      <c r="C37" s="66"/>
      <c r="D37" s="67"/>
    </row>
    <row r="38" spans="3:4" ht="12.75">
      <c r="C38" s="66"/>
      <c r="D38" s="67"/>
    </row>
    <row r="39" spans="3:4" ht="12.75">
      <c r="C39" s="66"/>
      <c r="D39" s="67"/>
    </row>
    <row r="40" spans="3:4" ht="12.75">
      <c r="C40" s="66"/>
      <c r="D40" s="67"/>
    </row>
    <row r="41" spans="3:4" ht="12.75">
      <c r="C41" s="66"/>
      <c r="D41" s="67"/>
    </row>
    <row r="42" spans="3:4" ht="12.75">
      <c r="C42" s="66"/>
      <c r="D42" s="67"/>
    </row>
    <row r="43" spans="2:4" ht="12.75">
      <c r="B43">
        <v>507</v>
      </c>
      <c r="C43" s="66"/>
      <c r="D43" s="67"/>
    </row>
    <row r="44" spans="2:4" ht="12.75">
      <c r="B44">
        <f>507-120</f>
        <v>387</v>
      </c>
      <c r="C44" s="66"/>
      <c r="D44" s="67"/>
    </row>
    <row r="45" spans="3:4" ht="12.75">
      <c r="C45" s="66"/>
      <c r="D45" s="67"/>
    </row>
    <row r="46" spans="3:4" ht="12.75">
      <c r="C46" s="66"/>
      <c r="D46" s="67"/>
    </row>
    <row r="47" spans="3:4" ht="12.75">
      <c r="C47" s="66"/>
      <c r="D47" s="67"/>
    </row>
    <row r="48" spans="3:4" ht="12.75">
      <c r="C48" s="66"/>
      <c r="D48" s="67"/>
    </row>
    <row r="49" spans="3:4" ht="12.75">
      <c r="C49" s="66"/>
      <c r="D49" s="67"/>
    </row>
    <row r="50" spans="3:4" ht="12.75">
      <c r="C50" s="66"/>
      <c r="D50" s="67"/>
    </row>
  </sheetData>
  <mergeCells count="3">
    <mergeCell ref="D22:G22"/>
    <mergeCell ref="L25:M25"/>
    <mergeCell ref="I22:M2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zoomScaleSheetLayoutView="100" workbookViewId="0" topLeftCell="A1">
      <selection activeCell="A92" sqref="A92"/>
    </sheetView>
  </sheetViews>
  <sheetFormatPr defaultColWidth="8.75390625" defaultRowHeight="12.75"/>
  <cols>
    <col min="1" max="1" width="28.00390625" style="0" customWidth="1"/>
    <col min="2" max="2" width="13.625" style="0" bestFit="1" customWidth="1"/>
    <col min="3" max="3" width="14.375" style="0" customWidth="1"/>
    <col min="4" max="4" width="12.25390625" style="0" customWidth="1"/>
    <col min="5" max="5" width="11.75390625" style="0" customWidth="1"/>
    <col min="6" max="6" width="16.375" style="0" customWidth="1"/>
    <col min="7" max="7" width="12.125" style="0" customWidth="1"/>
    <col min="8" max="8" width="11.375" style="0" customWidth="1"/>
    <col min="9" max="9" width="11.125" style="0" customWidth="1"/>
    <col min="10" max="10" width="12.00390625" style="0" customWidth="1"/>
    <col min="11" max="12" width="8.125" style="0" customWidth="1"/>
    <col min="13" max="13" width="9.75390625" style="0" bestFit="1" customWidth="1"/>
  </cols>
  <sheetData>
    <row r="1" spans="1:10" ht="12.75">
      <c r="A1" s="4" t="s">
        <v>34</v>
      </c>
      <c r="B1" s="21">
        <v>2009</v>
      </c>
      <c r="C1" s="21">
        <v>2010</v>
      </c>
      <c r="D1" s="21">
        <v>2011</v>
      </c>
      <c r="E1" s="21">
        <v>2012</v>
      </c>
      <c r="F1" s="21">
        <v>2013</v>
      </c>
      <c r="G1" s="21">
        <v>2014</v>
      </c>
      <c r="H1" s="21" t="s">
        <v>60</v>
      </c>
      <c r="I1" s="21" t="s">
        <v>71</v>
      </c>
      <c r="J1" s="49" t="s">
        <v>24</v>
      </c>
    </row>
    <row r="2" spans="1:10" ht="12.75">
      <c r="A2" s="4" t="s">
        <v>37</v>
      </c>
      <c r="B2" s="37">
        <v>215.41950113378684</v>
      </c>
      <c r="C2" s="37">
        <v>140.58956916099774</v>
      </c>
      <c r="D2" s="37">
        <v>88.43537414965986</v>
      </c>
      <c r="E2" s="37">
        <v>206.34920634920636</v>
      </c>
      <c r="F2" s="37">
        <v>62.358276643990926</v>
      </c>
      <c r="G2" s="37">
        <v>230.15873015873015</v>
      </c>
      <c r="H2" s="37">
        <v>376.4172335600907</v>
      </c>
      <c r="I2" s="37">
        <v>1319.7278911564626</v>
      </c>
      <c r="J2" s="50">
        <v>0.34</v>
      </c>
    </row>
    <row r="3" spans="1:11" ht="12.75">
      <c r="A3" s="38" t="s">
        <v>38</v>
      </c>
      <c r="B3" s="37">
        <f aca="true" t="shared" si="0" ref="B3:H3">B2*recovery</f>
        <v>190</v>
      </c>
      <c r="C3" s="37">
        <f t="shared" si="0"/>
        <v>124.00000000000001</v>
      </c>
      <c r="D3" s="37">
        <f t="shared" si="0"/>
        <v>78</v>
      </c>
      <c r="E3" s="37">
        <f t="shared" si="0"/>
        <v>182</v>
      </c>
      <c r="F3" s="37">
        <f t="shared" si="0"/>
        <v>55</v>
      </c>
      <c r="G3" s="37">
        <f t="shared" si="0"/>
        <v>203</v>
      </c>
      <c r="H3" s="37">
        <f t="shared" si="0"/>
        <v>332</v>
      </c>
      <c r="I3" s="37">
        <f>+SUM(B3:H3)</f>
        <v>1164</v>
      </c>
      <c r="J3" s="50">
        <v>0.17</v>
      </c>
      <c r="K3" s="54"/>
    </row>
    <row r="4" spans="1:10" ht="12.75">
      <c r="A4" s="38" t="s">
        <v>35</v>
      </c>
      <c r="B4" s="159">
        <f>B3*$J$4</f>
        <v>96.9</v>
      </c>
      <c r="C4" s="159">
        <f aca="true" t="shared" si="1" ref="C4:I4">C3*$J$4</f>
        <v>63.24000000000001</v>
      </c>
      <c r="D4" s="159">
        <f t="shared" si="1"/>
        <v>39.78</v>
      </c>
      <c r="E4" s="159">
        <f t="shared" si="1"/>
        <v>92.82000000000001</v>
      </c>
      <c r="F4" s="159">
        <f t="shared" si="1"/>
        <v>28.05</v>
      </c>
      <c r="G4" s="159">
        <f t="shared" si="1"/>
        <v>103.53</v>
      </c>
      <c r="H4" s="159">
        <f t="shared" si="1"/>
        <v>169.32</v>
      </c>
      <c r="I4" s="159">
        <f t="shared" si="1"/>
        <v>593.64</v>
      </c>
      <c r="J4" s="52">
        <v>0.51</v>
      </c>
    </row>
    <row r="5" spans="1:10" s="58" customFormat="1" ht="12.75">
      <c r="A5" t="s">
        <v>72</v>
      </c>
      <c r="J5" s="52"/>
    </row>
    <row r="6" spans="1:5" ht="12.75">
      <c r="A6" s="4" t="s">
        <v>59</v>
      </c>
      <c r="B6" s="36">
        <v>1319</v>
      </c>
      <c r="C6" s="7"/>
      <c r="D6" s="7"/>
      <c r="E6" s="7"/>
    </row>
    <row r="7" spans="1:10" ht="12.75">
      <c r="A7" s="3" t="s">
        <v>75</v>
      </c>
      <c r="B7" s="35"/>
      <c r="C7" s="7"/>
      <c r="D7" s="7"/>
      <c r="E7" s="7"/>
      <c r="J7" s="158"/>
    </row>
    <row r="8" spans="1:5" s="58" customFormat="1" ht="12.75">
      <c r="A8" s="160" t="s">
        <v>36</v>
      </c>
      <c r="B8" s="35"/>
      <c r="C8" s="7"/>
      <c r="D8" s="7"/>
      <c r="E8" s="7"/>
    </row>
    <row r="9" spans="1:5" ht="12.75">
      <c r="A9" s="3"/>
      <c r="B9" s="8"/>
      <c r="C9" s="7"/>
      <c r="D9" s="7"/>
      <c r="E9" s="7"/>
    </row>
    <row r="10" spans="1:5" ht="12.75">
      <c r="A10" s="22" t="s">
        <v>73</v>
      </c>
      <c r="D10" s="3"/>
      <c r="E10" s="5"/>
    </row>
    <row r="11" spans="1:5" ht="12.75">
      <c r="A11" s="3" t="s">
        <v>74</v>
      </c>
      <c r="D11" s="3"/>
      <c r="E11" s="5"/>
    </row>
    <row r="12" spans="1:5" ht="12.75">
      <c r="A12" s="3" t="s">
        <v>58</v>
      </c>
      <c r="D12" s="3"/>
      <c r="E12" s="5"/>
    </row>
    <row r="13" spans="1:5" ht="12.75">
      <c r="A13" s="22"/>
      <c r="D13" s="3"/>
      <c r="E13" s="5"/>
    </row>
    <row r="14" spans="1:5" ht="12.75">
      <c r="A14" s="23" t="s">
        <v>11</v>
      </c>
      <c r="D14" s="3"/>
      <c r="E14" s="5"/>
    </row>
    <row r="15" spans="1:5" ht="12.75">
      <c r="A15" s="3" t="s">
        <v>10</v>
      </c>
      <c r="D15" s="3"/>
      <c r="E15" s="5"/>
    </row>
    <row r="16" spans="1:5" ht="12.75">
      <c r="A16" s="3" t="s">
        <v>22</v>
      </c>
      <c r="D16" s="3"/>
      <c r="E16" s="5"/>
    </row>
    <row r="17" spans="1:5" ht="12.75">
      <c r="A17" s="23"/>
      <c r="D17" s="3"/>
      <c r="E17" s="5"/>
    </row>
    <row r="18" spans="1:5" ht="12.75">
      <c r="A18" s="23" t="s">
        <v>12</v>
      </c>
      <c r="D18" s="3"/>
      <c r="E18" s="5"/>
    </row>
    <row r="19" spans="1:5" ht="12.75">
      <c r="A19" s="3" t="s">
        <v>13</v>
      </c>
      <c r="D19" s="3"/>
      <c r="E19" s="5"/>
    </row>
    <row r="20" spans="1:5" ht="12.75">
      <c r="A20" s="3"/>
      <c r="D20" s="3"/>
      <c r="E20" s="5"/>
    </row>
    <row r="21" spans="1:5" ht="12.75">
      <c r="A21" s="23" t="s">
        <v>14</v>
      </c>
      <c r="D21" s="3"/>
      <c r="E21" s="5"/>
    </row>
    <row r="22" spans="1:5" ht="12.75">
      <c r="A22" s="3" t="s">
        <v>15</v>
      </c>
      <c r="D22" s="3"/>
      <c r="E22" s="5"/>
    </row>
    <row r="23" spans="1:5" ht="12.75">
      <c r="A23" s="3" t="s">
        <v>16</v>
      </c>
      <c r="D23" s="3"/>
      <c r="E23" s="5"/>
    </row>
    <row r="24" spans="1:5" ht="12.75">
      <c r="A24" s="22"/>
      <c r="D24" s="3"/>
      <c r="E24" s="5"/>
    </row>
    <row r="25" spans="1:8" ht="12.75">
      <c r="A25" s="26" t="s">
        <v>54</v>
      </c>
      <c r="B25" s="27"/>
      <c r="C25" s="26"/>
      <c r="D25" s="26"/>
      <c r="E25" s="26"/>
      <c r="F25" s="26"/>
      <c r="G25" s="26"/>
      <c r="H25" s="26"/>
    </row>
    <row r="26" spans="1:10" ht="13.5" thickBot="1">
      <c r="A26" s="53" t="s">
        <v>43</v>
      </c>
      <c r="B26">
        <v>0</v>
      </c>
      <c r="C26">
        <v>1</v>
      </c>
      <c r="D26">
        <v>2</v>
      </c>
      <c r="E26">
        <v>3</v>
      </c>
      <c r="F26">
        <v>4</v>
      </c>
      <c r="G26">
        <v>5</v>
      </c>
      <c r="H26">
        <v>6</v>
      </c>
      <c r="I26">
        <v>7</v>
      </c>
      <c r="J26" s="22" t="s">
        <v>40</v>
      </c>
    </row>
    <row r="27" spans="2:13" ht="12.75">
      <c r="B27" s="24">
        <v>2009</v>
      </c>
      <c r="C27" s="25">
        <v>2010</v>
      </c>
      <c r="D27" s="25">
        <v>2011</v>
      </c>
      <c r="E27" s="25">
        <v>2012</v>
      </c>
      <c r="F27" s="25">
        <v>2013</v>
      </c>
      <c r="G27" s="25">
        <v>2014</v>
      </c>
      <c r="H27" s="25">
        <v>2015</v>
      </c>
      <c r="I27" s="25">
        <v>2016</v>
      </c>
      <c r="J27" s="149">
        <v>2017</v>
      </c>
      <c r="K27" s="150">
        <v>2018</v>
      </c>
      <c r="L27" s="150">
        <v>2019</v>
      </c>
      <c r="M27" s="151">
        <v>2020</v>
      </c>
    </row>
    <row r="28" spans="1:13" ht="12.75">
      <c r="A28" s="3" t="s">
        <v>66</v>
      </c>
      <c r="B28" s="12">
        <f>+('Forsendur og niðurstöður'!F16)</f>
        <v>713.47059</v>
      </c>
      <c r="C28" s="13">
        <f aca="true" t="shared" si="2" ref="C28:J28">+B31</f>
        <v>730.2860167136301</v>
      </c>
      <c r="D28" s="13">
        <f t="shared" si="2"/>
        <v>770.8168906412366</v>
      </c>
      <c r="E28" s="13">
        <f t="shared" si="2"/>
        <v>653.4572280718252</v>
      </c>
      <c r="F28" s="13">
        <f t="shared" si="2"/>
        <v>649.9441042298115</v>
      </c>
      <c r="G28" s="13">
        <f t="shared" si="2"/>
        <v>593.196002014566</v>
      </c>
      <c r="H28" s="13">
        <f t="shared" si="2"/>
        <v>598.0683801263744</v>
      </c>
      <c r="I28" s="13">
        <f t="shared" si="2"/>
        <v>527.7311752233883</v>
      </c>
      <c r="J28" s="152">
        <f t="shared" si="2"/>
        <v>523.1562554482863</v>
      </c>
      <c r="K28" s="13"/>
      <c r="L28" s="13"/>
      <c r="M28" s="153"/>
    </row>
    <row r="29" spans="1:13" ht="12.75">
      <c r="A29" s="3" t="s">
        <v>61</v>
      </c>
      <c r="B29" s="14">
        <f>+B28*'Forsendur og niðurstöður'!$B$7*(B35-B34)/365</f>
        <v>16.81542671363014</v>
      </c>
      <c r="C29" s="15">
        <f>+C28*'Forsendur og niðurstöður'!$B$7</f>
        <v>40.53087392760647</v>
      </c>
      <c r="D29" s="15">
        <f>+D28*'Forsendur og niðurstöður'!$B$7</f>
        <v>42.78033743058863</v>
      </c>
      <c r="E29" s="15">
        <f>+E28*'Forsendur og niðurstöður'!$B$7</f>
        <v>36.266876157986296</v>
      </c>
      <c r="F29" s="15">
        <f>+F28*'Forsendur og niðurstöður'!$B$7</f>
        <v>36.07189778475454</v>
      </c>
      <c r="G29" s="15">
        <f>+G28*'Forsendur og niðurstöður'!$B$7</f>
        <v>32.92237811180841</v>
      </c>
      <c r="H29" s="15">
        <f>+H28*'Forsendur og niðurstöður'!$B$7</f>
        <v>33.192795097013786</v>
      </c>
      <c r="I29" s="15">
        <f>+I28*'Forsendur og niðurstöður'!$B$7</f>
        <v>29.28908022489805</v>
      </c>
      <c r="J29" s="152"/>
      <c r="K29" s="15"/>
      <c r="L29" s="15"/>
      <c r="M29" s="154"/>
    </row>
    <row r="30" spans="1:14" ht="12.75">
      <c r="A30" s="3" t="str">
        <f>"Payments to TIF: "&amp;ROUND(útreikningar!J4,2)*100&amp;"%"</f>
        <v>Payments to TIF: 51%</v>
      </c>
      <c r="B30" s="14">
        <v>0</v>
      </c>
      <c r="C30">
        <v>0</v>
      </c>
      <c r="D30" s="15">
        <f>(-B3-C3)*útreikningar!$J$4</f>
        <v>-160.14000000000001</v>
      </c>
      <c r="E30" s="15">
        <f>(-D3)*útreikningar!$J$4</f>
        <v>-39.78</v>
      </c>
      <c r="F30" s="15">
        <f>(-E3)*útreikningar!$J$4</f>
        <v>-92.82000000000001</v>
      </c>
      <c r="G30" s="15">
        <f>(-F3)*útreikningar!$J$4</f>
        <v>-28.05</v>
      </c>
      <c r="H30" s="15">
        <f>(-G3)*útreikningar!$J$4</f>
        <v>-103.53</v>
      </c>
      <c r="I30" s="15">
        <f>-H3*útreikningar!$J$4/5</f>
        <v>-33.864</v>
      </c>
      <c r="J30" s="152">
        <f>+I30</f>
        <v>-33.864</v>
      </c>
      <c r="K30" s="15">
        <f>+J30</f>
        <v>-33.864</v>
      </c>
      <c r="L30" s="15">
        <f>+K30</f>
        <v>-33.864</v>
      </c>
      <c r="M30" s="154">
        <f>+L30</f>
        <v>-33.864</v>
      </c>
      <c r="N30" s="61"/>
    </row>
    <row r="31" spans="1:13" ht="13.5" thickBot="1">
      <c r="A31" s="3" t="s">
        <v>67</v>
      </c>
      <c r="B31" s="16">
        <f>+SUM(B28:B30)</f>
        <v>730.2860167136301</v>
      </c>
      <c r="C31" s="17">
        <f aca="true" t="shared" si="3" ref="C31:I31">+SUM(C28:C30)</f>
        <v>770.8168906412366</v>
      </c>
      <c r="D31" s="17">
        <f>+SUM(D28:D30)</f>
        <v>653.4572280718252</v>
      </c>
      <c r="E31" s="17">
        <f t="shared" si="3"/>
        <v>649.9441042298115</v>
      </c>
      <c r="F31" s="17">
        <f t="shared" si="3"/>
        <v>593.196002014566</v>
      </c>
      <c r="G31" s="17">
        <f t="shared" si="3"/>
        <v>598.0683801263744</v>
      </c>
      <c r="H31" s="17">
        <f t="shared" si="3"/>
        <v>527.7311752233883</v>
      </c>
      <c r="I31" s="148">
        <f t="shared" si="3"/>
        <v>523.1562554482863</v>
      </c>
      <c r="J31" s="155"/>
      <c r="K31" s="156"/>
      <c r="L31" s="156"/>
      <c r="M31" s="157"/>
    </row>
    <row r="32" spans="10:11" ht="12.75">
      <c r="J32" s="1"/>
      <c r="K32" s="1"/>
    </row>
    <row r="33" spans="1:11" ht="12.75">
      <c r="A33" s="22" t="s">
        <v>56</v>
      </c>
      <c r="J33" s="1"/>
      <c r="K33" s="1"/>
    </row>
    <row r="34" spans="1:13" s="53" customFormat="1" ht="12.75">
      <c r="A34" s="22" t="s">
        <v>41</v>
      </c>
      <c r="B34" s="57">
        <v>38352</v>
      </c>
      <c r="C34" s="58"/>
      <c r="D34" s="58"/>
      <c r="E34" s="58"/>
      <c r="F34" s="58"/>
      <c r="G34" s="58"/>
      <c r="H34" s="58"/>
      <c r="I34" s="58"/>
      <c r="J34" s="1"/>
      <c r="K34" s="1"/>
      <c r="L34" s="58"/>
      <c r="M34" s="58"/>
    </row>
    <row r="35" spans="1:13" s="53" customFormat="1" ht="12.75">
      <c r="A35" s="22" t="s">
        <v>42</v>
      </c>
      <c r="B35" s="57">
        <v>38507</v>
      </c>
      <c r="C35" s="58"/>
      <c r="D35" s="58"/>
      <c r="E35" s="58"/>
      <c r="F35" s="58"/>
      <c r="G35" s="58"/>
      <c r="H35" s="58"/>
      <c r="I35" s="58"/>
      <c r="J35" s="1">
        <f>I31*(1/1.0555)^7</f>
        <v>358.44601713641396</v>
      </c>
      <c r="K35" s="1"/>
      <c r="L35" s="58"/>
      <c r="M35" s="58"/>
    </row>
    <row r="36" spans="1:13" s="53" customFormat="1" ht="12.75">
      <c r="A36" s="22" t="s">
        <v>9</v>
      </c>
      <c r="B36" s="58"/>
      <c r="C36" s="58"/>
      <c r="D36" s="58"/>
      <c r="E36" s="58"/>
      <c r="F36" s="58"/>
      <c r="G36" s="58"/>
      <c r="H36" s="58"/>
      <c r="I36" s="58"/>
      <c r="J36" s="1"/>
      <c r="K36" s="1"/>
      <c r="L36" s="58"/>
      <c r="M36" s="58"/>
    </row>
    <row r="37" spans="1:11" s="58" customFormat="1" ht="12.75">
      <c r="A37" s="3" t="s">
        <v>0</v>
      </c>
      <c r="J37" s="1"/>
      <c r="K37" s="1"/>
    </row>
    <row r="38" spans="10:11" ht="12.75">
      <c r="J38" s="1"/>
      <c r="K38" s="1"/>
    </row>
    <row r="39" spans="1:10" ht="12.75">
      <c r="A39" s="4" t="s">
        <v>55</v>
      </c>
      <c r="B39" s="4"/>
      <c r="C39" s="4"/>
      <c r="J39" s="5"/>
    </row>
    <row r="40" spans="1:3" ht="12.75">
      <c r="A40" s="3" t="s">
        <v>52</v>
      </c>
      <c r="B40" s="2">
        <f>+SUM(I44:I75)</f>
        <v>507.47034067997845</v>
      </c>
      <c r="C40" s="34" t="s">
        <v>51</v>
      </c>
    </row>
    <row r="41" spans="1:12" ht="12.75">
      <c r="A41" s="18"/>
      <c r="B41" s="28"/>
      <c r="C41" s="29"/>
      <c r="J41" s="19"/>
      <c r="K41" s="2"/>
      <c r="L41" s="2"/>
    </row>
    <row r="42" spans="1:13" ht="12.75">
      <c r="A42" s="4" t="s">
        <v>53</v>
      </c>
      <c r="B42" s="4"/>
      <c r="C42" s="4"/>
      <c r="D42" s="4"/>
      <c r="E42" s="4"/>
      <c r="F42" s="4"/>
      <c r="G42" s="26"/>
      <c r="H42" s="26"/>
      <c r="I42" s="9"/>
      <c r="K42" s="9"/>
      <c r="L42" s="9"/>
      <c r="M42" s="2"/>
    </row>
    <row r="43" spans="2:12" ht="13.5" customHeight="1">
      <c r="B43" s="32" t="s">
        <v>68</v>
      </c>
      <c r="C43" s="32" t="s">
        <v>62</v>
      </c>
      <c r="D43" s="32" t="s">
        <v>68</v>
      </c>
      <c r="E43" s="32" t="s">
        <v>62</v>
      </c>
      <c r="F43" s="32" t="s">
        <v>69</v>
      </c>
      <c r="G43" s="33" t="s">
        <v>70</v>
      </c>
      <c r="H43" s="33" t="s">
        <v>17</v>
      </c>
      <c r="I43" s="33" t="s">
        <v>18</v>
      </c>
      <c r="J43" s="33"/>
      <c r="K43" s="33"/>
      <c r="L43" s="33"/>
    </row>
    <row r="44" spans="1:11" ht="12.75">
      <c r="A44" s="6">
        <v>2016</v>
      </c>
      <c r="B44" s="6">
        <v>1</v>
      </c>
      <c r="C44" s="11">
        <f>+I31</f>
        <v>523.1562554482863</v>
      </c>
      <c r="D44" s="30">
        <f>+IF(C44&gt;0,MIN(C44,$C$44/32),0)</f>
        <v>16.348632982758946</v>
      </c>
      <c r="E44" s="11">
        <f>+C44-D44</f>
        <v>506.80762246552734</v>
      </c>
      <c r="F44" s="31">
        <f>+C44*'Forsendur og niðurstöður'!$B$7/4</f>
        <v>7.258793044344972</v>
      </c>
      <c r="G44" s="30">
        <f>+F44+D44</f>
        <v>23.60742602710392</v>
      </c>
      <c r="H44" s="31">
        <f>-$I$30/4</f>
        <v>8.466</v>
      </c>
      <c r="I44" s="9">
        <f>+G44-H44</f>
        <v>15.14142602710392</v>
      </c>
      <c r="K44" s="20"/>
    </row>
    <row r="45" spans="1:11" ht="12.75">
      <c r="A45" s="6">
        <v>2016</v>
      </c>
      <c r="B45" s="6">
        <v>2</v>
      </c>
      <c r="C45" s="11">
        <f>+E44</f>
        <v>506.80762246552734</v>
      </c>
      <c r="D45" s="30">
        <f aca="true" t="shared" si="4" ref="D45:D75">+IF(C45&gt;0,MIN(C45,$C$44/32),0)</f>
        <v>16.348632982758946</v>
      </c>
      <c r="E45" s="11">
        <f>+C45-D45</f>
        <v>490.4589894827684</v>
      </c>
      <c r="F45" s="31">
        <f>+C45*'Forsendur og niðurstöður'!$B$7/4</f>
        <v>7.031955761709192</v>
      </c>
      <c r="G45" s="30">
        <f>+F45+D45</f>
        <v>23.380588744468138</v>
      </c>
      <c r="H45" s="31">
        <f aca="true" t="shared" si="5" ref="H45:H59">-$I$30/4</f>
        <v>8.466</v>
      </c>
      <c r="I45" s="9">
        <f>+G45-H45</f>
        <v>14.914588744468139</v>
      </c>
      <c r="K45" s="20"/>
    </row>
    <row r="46" spans="1:11" ht="12.75">
      <c r="A46" s="6">
        <v>2017</v>
      </c>
      <c r="B46" s="6">
        <v>3</v>
      </c>
      <c r="C46" s="11">
        <f aca="true" t="shared" si="6" ref="C46:C74">+E45</f>
        <v>490.4589894827684</v>
      </c>
      <c r="D46" s="30">
        <f t="shared" si="4"/>
        <v>16.348632982758946</v>
      </c>
      <c r="E46" s="11">
        <f aca="true" t="shared" si="7" ref="E46:E75">+C46-D46</f>
        <v>474.11035650000946</v>
      </c>
      <c r="F46" s="31">
        <f>+C46*'Forsendur og niðurstöður'!$B$7/4</f>
        <v>6.805118479073411</v>
      </c>
      <c r="G46" s="30">
        <f>+F46+D46</f>
        <v>23.153751461832357</v>
      </c>
      <c r="H46" s="31">
        <f t="shared" si="5"/>
        <v>8.466</v>
      </c>
      <c r="I46" s="9">
        <f aca="true" t="shared" si="8" ref="I46:I74">+G46-H46</f>
        <v>14.687751461832358</v>
      </c>
      <c r="K46" s="20"/>
    </row>
    <row r="47" spans="1:11" ht="12.75">
      <c r="A47" s="6">
        <v>2017</v>
      </c>
      <c r="B47" s="6">
        <v>4</v>
      </c>
      <c r="C47" s="11">
        <f t="shared" si="6"/>
        <v>474.11035650000946</v>
      </c>
      <c r="D47" s="30">
        <f t="shared" si="4"/>
        <v>16.348632982758946</v>
      </c>
      <c r="E47" s="11">
        <f t="shared" si="7"/>
        <v>457.7617235172505</v>
      </c>
      <c r="F47" s="31">
        <f>+C47*'Forsendur og niðurstöður'!$B$7/4</f>
        <v>6.578281196437631</v>
      </c>
      <c r="G47" s="30">
        <f>+F47+D47</f>
        <v>22.92691417919658</v>
      </c>
      <c r="H47" s="31">
        <f t="shared" si="5"/>
        <v>8.466</v>
      </c>
      <c r="I47" s="9">
        <f t="shared" si="8"/>
        <v>14.46091417919658</v>
      </c>
      <c r="K47" s="20"/>
    </row>
    <row r="48" spans="1:11" ht="12.75">
      <c r="A48" s="6">
        <v>2017</v>
      </c>
      <c r="B48" s="6">
        <v>5</v>
      </c>
      <c r="C48" s="11">
        <f t="shared" si="6"/>
        <v>457.7617235172505</v>
      </c>
      <c r="D48" s="30">
        <f t="shared" si="4"/>
        <v>16.348632982758946</v>
      </c>
      <c r="E48" s="11">
        <f t="shared" si="7"/>
        <v>441.4130905344916</v>
      </c>
      <c r="F48" s="31">
        <f>+C48*'Forsendur og niðurstöður'!$B$7/4</f>
        <v>6.351443913801851</v>
      </c>
      <c r="G48" s="30">
        <f>+F48+D48</f>
        <v>22.700076896560798</v>
      </c>
      <c r="H48" s="31">
        <f t="shared" si="5"/>
        <v>8.466</v>
      </c>
      <c r="I48" s="9">
        <f t="shared" si="8"/>
        <v>14.234076896560799</v>
      </c>
      <c r="K48" s="20"/>
    </row>
    <row r="49" spans="1:11" ht="12.75">
      <c r="A49" s="6">
        <v>2017</v>
      </c>
      <c r="B49" s="6">
        <v>6</v>
      </c>
      <c r="C49" s="11">
        <f t="shared" si="6"/>
        <v>441.4130905344916</v>
      </c>
      <c r="D49" s="30">
        <f t="shared" si="4"/>
        <v>16.348632982758946</v>
      </c>
      <c r="E49" s="11">
        <f t="shared" si="7"/>
        <v>425.06445755173263</v>
      </c>
      <c r="F49" s="31">
        <f>+C49*'Forsendur og niðurstöður'!$B$7/4</f>
        <v>6.1246066311660705</v>
      </c>
      <c r="G49" s="30">
        <f aca="true" t="shared" si="9" ref="G49:G75">+F49+D49</f>
        <v>22.473239613925017</v>
      </c>
      <c r="H49" s="31">
        <f t="shared" si="5"/>
        <v>8.466</v>
      </c>
      <c r="I49" s="9">
        <f t="shared" si="8"/>
        <v>14.007239613925018</v>
      </c>
      <c r="K49" s="20"/>
    </row>
    <row r="50" spans="1:11" ht="12.75">
      <c r="A50" s="6">
        <v>2018</v>
      </c>
      <c r="B50" s="6">
        <v>7</v>
      </c>
      <c r="C50" s="11">
        <f t="shared" si="6"/>
        <v>425.06445755173263</v>
      </c>
      <c r="D50" s="30">
        <f t="shared" si="4"/>
        <v>16.348632982758946</v>
      </c>
      <c r="E50" s="11">
        <f t="shared" si="7"/>
        <v>408.7158245689737</v>
      </c>
      <c r="F50" s="31">
        <f>+C50*'Forsendur og niðurstöður'!$B$7/4</f>
        <v>5.89776934853029</v>
      </c>
      <c r="G50" s="30">
        <f t="shared" si="9"/>
        <v>22.246402331289236</v>
      </c>
      <c r="H50" s="31">
        <f t="shared" si="5"/>
        <v>8.466</v>
      </c>
      <c r="I50" s="9">
        <f t="shared" si="8"/>
        <v>13.780402331289237</v>
      </c>
      <c r="K50" s="20"/>
    </row>
    <row r="51" spans="1:11" ht="12.75">
      <c r="A51" s="6">
        <v>2018</v>
      </c>
      <c r="B51" s="6">
        <v>8</v>
      </c>
      <c r="C51" s="11">
        <f t="shared" si="6"/>
        <v>408.7158245689737</v>
      </c>
      <c r="D51" s="30">
        <f t="shared" si="4"/>
        <v>16.348632982758946</v>
      </c>
      <c r="E51" s="11">
        <f t="shared" si="7"/>
        <v>392.36719158621474</v>
      </c>
      <c r="F51" s="31">
        <f>+C51*'Forsendur og niðurstöður'!$B$7/4</f>
        <v>5.67093206589451</v>
      </c>
      <c r="G51" s="30">
        <f t="shared" si="9"/>
        <v>22.019565048653455</v>
      </c>
      <c r="H51" s="31">
        <f t="shared" si="5"/>
        <v>8.466</v>
      </c>
      <c r="I51" s="9">
        <f t="shared" si="8"/>
        <v>13.553565048653455</v>
      </c>
      <c r="K51" s="20"/>
    </row>
    <row r="52" spans="1:11" ht="12.75">
      <c r="A52" s="6">
        <v>2018</v>
      </c>
      <c r="B52" s="6">
        <v>9</v>
      </c>
      <c r="C52" s="11">
        <f t="shared" si="6"/>
        <v>392.36719158621474</v>
      </c>
      <c r="D52" s="30">
        <f t="shared" si="4"/>
        <v>16.348632982758946</v>
      </c>
      <c r="E52" s="11">
        <f t="shared" si="7"/>
        <v>376.0185586034558</v>
      </c>
      <c r="F52" s="31">
        <f>+C52*'Forsendur og niðurstöður'!$B$7/4</f>
        <v>5.44409478325873</v>
      </c>
      <c r="G52" s="30">
        <f t="shared" si="9"/>
        <v>21.792727766017677</v>
      </c>
      <c r="H52" s="31">
        <f t="shared" si="5"/>
        <v>8.466</v>
      </c>
      <c r="I52" s="9">
        <f t="shared" si="8"/>
        <v>13.326727766017678</v>
      </c>
      <c r="K52" s="20"/>
    </row>
    <row r="53" spans="1:11" ht="12.75">
      <c r="A53" s="6">
        <v>2018</v>
      </c>
      <c r="B53" s="6">
        <v>10</v>
      </c>
      <c r="C53" s="11">
        <f t="shared" si="6"/>
        <v>376.0185586034558</v>
      </c>
      <c r="D53" s="30">
        <f t="shared" si="4"/>
        <v>16.348632982758946</v>
      </c>
      <c r="E53" s="11">
        <f t="shared" si="7"/>
        <v>359.66992562069686</v>
      </c>
      <c r="F53" s="31">
        <f>+C53*'Forsendur og niðurstöður'!$B$7/4</f>
        <v>5.217257500622949</v>
      </c>
      <c r="G53" s="30">
        <f t="shared" si="9"/>
        <v>21.565890483381896</v>
      </c>
      <c r="H53" s="31">
        <f t="shared" si="5"/>
        <v>8.466</v>
      </c>
      <c r="I53" s="9">
        <f t="shared" si="8"/>
        <v>13.099890483381897</v>
      </c>
      <c r="K53" s="20"/>
    </row>
    <row r="54" spans="1:11" ht="12.75">
      <c r="A54" s="6">
        <v>2019</v>
      </c>
      <c r="B54" s="6">
        <v>11</v>
      </c>
      <c r="C54" s="11">
        <f t="shared" si="6"/>
        <v>359.66992562069686</v>
      </c>
      <c r="D54" s="30">
        <f t="shared" si="4"/>
        <v>16.348632982758946</v>
      </c>
      <c r="E54" s="11">
        <f t="shared" si="7"/>
        <v>343.3212926379379</v>
      </c>
      <c r="F54" s="31">
        <f>+C54*'Forsendur og niðurstöður'!$B$7/4</f>
        <v>4.990420217987169</v>
      </c>
      <c r="G54" s="30">
        <f t="shared" si="9"/>
        <v>21.339053200746115</v>
      </c>
      <c r="H54" s="31">
        <f t="shared" si="5"/>
        <v>8.466</v>
      </c>
      <c r="I54" s="9">
        <f t="shared" si="8"/>
        <v>12.873053200746115</v>
      </c>
      <c r="K54" s="20"/>
    </row>
    <row r="55" spans="1:11" ht="12.75">
      <c r="A55" s="6">
        <v>2019</v>
      </c>
      <c r="B55" s="6">
        <v>12</v>
      </c>
      <c r="C55" s="11">
        <f t="shared" si="6"/>
        <v>343.3212926379379</v>
      </c>
      <c r="D55" s="30">
        <f t="shared" si="4"/>
        <v>16.348632982758946</v>
      </c>
      <c r="E55" s="11">
        <f t="shared" si="7"/>
        <v>326.972659655179</v>
      </c>
      <c r="F55" s="31">
        <f>+C55*'Forsendur og niðurstöður'!$B$7/4</f>
        <v>4.763582935351389</v>
      </c>
      <c r="G55" s="30">
        <f t="shared" si="9"/>
        <v>21.112215918110337</v>
      </c>
      <c r="H55" s="31">
        <f t="shared" si="5"/>
        <v>8.466</v>
      </c>
      <c r="I55" s="9">
        <f t="shared" si="8"/>
        <v>12.646215918110338</v>
      </c>
      <c r="K55" s="20"/>
    </row>
    <row r="56" spans="1:11" ht="12.75">
      <c r="A56" s="6">
        <v>2019</v>
      </c>
      <c r="B56" s="6">
        <v>13</v>
      </c>
      <c r="C56" s="11">
        <f t="shared" si="6"/>
        <v>326.972659655179</v>
      </c>
      <c r="D56" s="30">
        <f t="shared" si="4"/>
        <v>16.348632982758946</v>
      </c>
      <c r="E56" s="11">
        <f t="shared" si="7"/>
        <v>310.62402667242003</v>
      </c>
      <c r="F56" s="31">
        <f>+C56*'Forsendur og niðurstöður'!$B$7/4</f>
        <v>4.5367456527156085</v>
      </c>
      <c r="G56" s="30">
        <f t="shared" si="9"/>
        <v>20.885378635474556</v>
      </c>
      <c r="H56" s="31">
        <f t="shared" si="5"/>
        <v>8.466</v>
      </c>
      <c r="I56" s="9">
        <f t="shared" si="8"/>
        <v>12.419378635474557</v>
      </c>
      <c r="K56" s="20"/>
    </row>
    <row r="57" spans="1:11" ht="12.75">
      <c r="A57" s="6">
        <v>2019</v>
      </c>
      <c r="B57" s="6">
        <v>14</v>
      </c>
      <c r="C57" s="11">
        <f t="shared" si="6"/>
        <v>310.62402667242003</v>
      </c>
      <c r="D57" s="30">
        <f t="shared" si="4"/>
        <v>16.348632982758946</v>
      </c>
      <c r="E57" s="11">
        <f t="shared" si="7"/>
        <v>294.2753936896611</v>
      </c>
      <c r="F57" s="31">
        <f>+C57*'Forsendur og niðurstöður'!$B$7/4</f>
        <v>4.309908370079828</v>
      </c>
      <c r="G57" s="30">
        <f t="shared" si="9"/>
        <v>20.658541352838775</v>
      </c>
      <c r="H57" s="31">
        <f t="shared" si="5"/>
        <v>8.466</v>
      </c>
      <c r="I57" s="9">
        <f t="shared" si="8"/>
        <v>12.192541352838775</v>
      </c>
      <c r="K57" s="20"/>
    </row>
    <row r="58" spans="1:11" ht="12.75">
      <c r="A58" s="6">
        <v>2020</v>
      </c>
      <c r="B58" s="6">
        <v>15</v>
      </c>
      <c r="C58" s="11">
        <f t="shared" si="6"/>
        <v>294.2753936896611</v>
      </c>
      <c r="D58" s="30">
        <f t="shared" si="4"/>
        <v>16.348632982758946</v>
      </c>
      <c r="E58" s="11">
        <f t="shared" si="7"/>
        <v>277.92676070690214</v>
      </c>
      <c r="F58" s="31">
        <f>+C58*'Forsendur og niðurstöður'!$B$7/4</f>
        <v>4.083071087444048</v>
      </c>
      <c r="G58" s="30">
        <f t="shared" si="9"/>
        <v>20.431704070202994</v>
      </c>
      <c r="H58" s="31">
        <f t="shared" si="5"/>
        <v>8.466</v>
      </c>
      <c r="I58" s="9">
        <f t="shared" si="8"/>
        <v>11.965704070202994</v>
      </c>
      <c r="K58" s="20"/>
    </row>
    <row r="59" spans="1:11" ht="12.75">
      <c r="A59" s="6">
        <v>2020</v>
      </c>
      <c r="B59" s="6">
        <v>16</v>
      </c>
      <c r="C59" s="11">
        <f t="shared" si="6"/>
        <v>277.92676070690214</v>
      </c>
      <c r="D59" s="30">
        <f t="shared" si="4"/>
        <v>16.348632982758946</v>
      </c>
      <c r="E59" s="11">
        <f t="shared" si="7"/>
        <v>261.5781277241432</v>
      </c>
      <c r="F59" s="31">
        <f>+C59*'Forsendur og niðurstöður'!$B$7/4</f>
        <v>3.856233804808267</v>
      </c>
      <c r="G59" s="30">
        <f t="shared" si="9"/>
        <v>20.204866787567212</v>
      </c>
      <c r="H59" s="31">
        <f t="shared" si="5"/>
        <v>8.466</v>
      </c>
      <c r="I59" s="9">
        <f>+G59-H59</f>
        <v>11.738866787567213</v>
      </c>
      <c r="K59" s="20"/>
    </row>
    <row r="60" spans="1:11" ht="12.75">
      <c r="A60" s="6">
        <v>2020</v>
      </c>
      <c r="B60" s="6">
        <v>17</v>
      </c>
      <c r="C60" s="11">
        <f t="shared" si="6"/>
        <v>261.5781277241432</v>
      </c>
      <c r="D60" s="30">
        <f t="shared" si="4"/>
        <v>16.348632982758946</v>
      </c>
      <c r="E60" s="11">
        <f t="shared" si="7"/>
        <v>245.22949474138426</v>
      </c>
      <c r="F60" s="31">
        <f>+C60*'Forsendur og niðurstöður'!$B$7/4</f>
        <v>3.629396522172487</v>
      </c>
      <c r="G60" s="30">
        <f t="shared" si="9"/>
        <v>19.978029504931435</v>
      </c>
      <c r="I60" s="9">
        <f>+G60-H60</f>
        <v>19.978029504931435</v>
      </c>
      <c r="K60" s="20"/>
    </row>
    <row r="61" spans="1:11" ht="12.75">
      <c r="A61" s="6">
        <v>2020</v>
      </c>
      <c r="B61" s="6">
        <v>18</v>
      </c>
      <c r="C61" s="11">
        <f t="shared" si="6"/>
        <v>245.22949474138426</v>
      </c>
      <c r="D61" s="30">
        <f t="shared" si="4"/>
        <v>16.348632982758946</v>
      </c>
      <c r="E61" s="11">
        <f t="shared" si="7"/>
        <v>228.88086175862531</v>
      </c>
      <c r="F61" s="31">
        <f>+C61*'Forsendur og niðurstöður'!$B$7/4</f>
        <v>3.4025592395367066</v>
      </c>
      <c r="G61" s="30">
        <f t="shared" si="9"/>
        <v>19.751192222295654</v>
      </c>
      <c r="I61" s="9">
        <f t="shared" si="8"/>
        <v>19.751192222295654</v>
      </c>
      <c r="K61" s="20"/>
    </row>
    <row r="62" spans="1:11" ht="12.75">
      <c r="A62" s="6">
        <v>2021</v>
      </c>
      <c r="B62" s="6">
        <v>19</v>
      </c>
      <c r="C62" s="11">
        <f t="shared" si="6"/>
        <v>228.88086175862531</v>
      </c>
      <c r="D62" s="30">
        <f t="shared" si="4"/>
        <v>16.348632982758946</v>
      </c>
      <c r="E62" s="11">
        <f t="shared" si="7"/>
        <v>212.53222877586637</v>
      </c>
      <c r="F62" s="31">
        <f>+C62*'Forsendur og niðurstöður'!$B$7/4</f>
        <v>3.1757219569009263</v>
      </c>
      <c r="G62" s="30">
        <f t="shared" si="9"/>
        <v>19.524354939659872</v>
      </c>
      <c r="I62" s="9">
        <f t="shared" si="8"/>
        <v>19.524354939659872</v>
      </c>
      <c r="K62" s="20"/>
    </row>
    <row r="63" spans="1:11" ht="12.75">
      <c r="A63" s="6">
        <v>2021</v>
      </c>
      <c r="B63" s="6">
        <v>20</v>
      </c>
      <c r="C63" s="11">
        <f t="shared" si="6"/>
        <v>212.53222877586637</v>
      </c>
      <c r="D63" s="30">
        <f t="shared" si="4"/>
        <v>16.348632982758946</v>
      </c>
      <c r="E63" s="11">
        <f t="shared" si="7"/>
        <v>196.18359579310743</v>
      </c>
      <c r="F63" s="31">
        <f>+C63*'Forsendur og niðurstöður'!$B$7/4</f>
        <v>2.948884674265146</v>
      </c>
      <c r="G63" s="30">
        <f t="shared" si="9"/>
        <v>19.29751765702409</v>
      </c>
      <c r="I63" s="9">
        <f t="shared" si="8"/>
        <v>19.29751765702409</v>
      </c>
      <c r="K63" s="20"/>
    </row>
    <row r="64" spans="1:11" ht="12.75">
      <c r="A64" s="6">
        <v>2021</v>
      </c>
      <c r="B64" s="6">
        <v>21</v>
      </c>
      <c r="C64" s="11">
        <f t="shared" si="6"/>
        <v>196.18359579310743</v>
      </c>
      <c r="D64" s="30">
        <f t="shared" si="4"/>
        <v>16.348632982758946</v>
      </c>
      <c r="E64" s="11">
        <f t="shared" si="7"/>
        <v>179.8349628103485</v>
      </c>
      <c r="F64" s="31">
        <f>+C64*'Forsendur og niðurstöður'!$B$7/4</f>
        <v>2.7220473916293657</v>
      </c>
      <c r="G64" s="30">
        <f t="shared" si="9"/>
        <v>19.070680374388314</v>
      </c>
      <c r="I64" s="9">
        <f t="shared" si="8"/>
        <v>19.070680374388314</v>
      </c>
      <c r="K64" s="20"/>
    </row>
    <row r="65" spans="1:11" ht="12.75">
      <c r="A65" s="6">
        <v>2021</v>
      </c>
      <c r="B65" s="6">
        <v>22</v>
      </c>
      <c r="C65" s="11">
        <f t="shared" si="6"/>
        <v>179.8349628103485</v>
      </c>
      <c r="D65" s="30">
        <f t="shared" si="4"/>
        <v>16.348632982758946</v>
      </c>
      <c r="E65" s="11">
        <f t="shared" si="7"/>
        <v>163.48632982758954</v>
      </c>
      <c r="F65" s="31">
        <f>+C65*'Forsendur og niðurstöður'!$B$7/4</f>
        <v>2.4952101089935854</v>
      </c>
      <c r="G65" s="30">
        <f t="shared" si="9"/>
        <v>18.843843091752532</v>
      </c>
      <c r="I65" s="9">
        <f t="shared" si="8"/>
        <v>18.843843091752532</v>
      </c>
      <c r="K65" s="20"/>
    </row>
    <row r="66" spans="1:11" ht="12.75">
      <c r="A66" s="6">
        <v>2022</v>
      </c>
      <c r="B66" s="6">
        <v>23</v>
      </c>
      <c r="C66" s="11">
        <f t="shared" si="6"/>
        <v>163.48632982758954</v>
      </c>
      <c r="D66" s="30">
        <f t="shared" si="4"/>
        <v>16.348632982758946</v>
      </c>
      <c r="E66" s="11">
        <f t="shared" si="7"/>
        <v>147.1376968448306</v>
      </c>
      <c r="F66" s="31">
        <f>+C66*'Forsendur og niðurstöður'!$B$7/4</f>
        <v>2.268372826357805</v>
      </c>
      <c r="G66" s="30">
        <f t="shared" si="9"/>
        <v>18.61700580911675</v>
      </c>
      <c r="I66" s="9">
        <f t="shared" si="8"/>
        <v>18.61700580911675</v>
      </c>
      <c r="K66" s="20"/>
    </row>
    <row r="67" spans="1:11" ht="12.75">
      <c r="A67" s="6">
        <v>2022</v>
      </c>
      <c r="B67" s="6">
        <v>24</v>
      </c>
      <c r="C67" s="11">
        <f t="shared" si="6"/>
        <v>147.1376968448306</v>
      </c>
      <c r="D67" s="30">
        <f t="shared" si="4"/>
        <v>16.348632982758946</v>
      </c>
      <c r="E67" s="11">
        <f t="shared" si="7"/>
        <v>130.78906386207166</v>
      </c>
      <c r="F67" s="31">
        <f>+C67*'Forsendur og niðurstöður'!$B$7/4</f>
        <v>2.0415355437220244</v>
      </c>
      <c r="G67" s="30">
        <f t="shared" si="9"/>
        <v>18.39016852648097</v>
      </c>
      <c r="I67" s="9">
        <f t="shared" si="8"/>
        <v>18.39016852648097</v>
      </c>
      <c r="K67" s="20"/>
    </row>
    <row r="68" spans="1:11" ht="12.75">
      <c r="A68" s="6">
        <v>2022</v>
      </c>
      <c r="B68" s="6">
        <v>25</v>
      </c>
      <c r="C68" s="11">
        <f t="shared" si="6"/>
        <v>130.78906386207166</v>
      </c>
      <c r="D68" s="30">
        <f t="shared" si="4"/>
        <v>16.348632982758946</v>
      </c>
      <c r="E68" s="11">
        <f t="shared" si="7"/>
        <v>114.44043087931271</v>
      </c>
      <c r="F68" s="31">
        <f>+C68*'Forsendur og niðurstöður'!$B$7/4</f>
        <v>1.8146982610862443</v>
      </c>
      <c r="G68" s="30">
        <f t="shared" si="9"/>
        <v>18.163331243845192</v>
      </c>
      <c r="I68" s="9">
        <f t="shared" si="8"/>
        <v>18.163331243845192</v>
      </c>
      <c r="K68" s="20"/>
    </row>
    <row r="69" spans="1:11" ht="12.75">
      <c r="A69" s="6">
        <v>2022</v>
      </c>
      <c r="B69" s="6">
        <v>26</v>
      </c>
      <c r="C69" s="11">
        <f t="shared" si="6"/>
        <v>114.44043087931271</v>
      </c>
      <c r="D69" s="30">
        <f t="shared" si="4"/>
        <v>16.348632982758946</v>
      </c>
      <c r="E69" s="11">
        <f t="shared" si="7"/>
        <v>98.09179789655377</v>
      </c>
      <c r="F69" s="31">
        <f>+C69*'Forsendur og niðurstöður'!$B$7/4</f>
        <v>1.587860978450464</v>
      </c>
      <c r="G69" s="30">
        <f t="shared" si="9"/>
        <v>17.93649396120941</v>
      </c>
      <c r="I69" s="9">
        <f t="shared" si="8"/>
        <v>17.93649396120941</v>
      </c>
      <c r="K69" s="20"/>
    </row>
    <row r="70" spans="1:11" ht="12.75">
      <c r="A70" s="6">
        <v>2023</v>
      </c>
      <c r="B70" s="6">
        <v>27</v>
      </c>
      <c r="C70" s="11">
        <f t="shared" si="6"/>
        <v>98.09179789655377</v>
      </c>
      <c r="D70" s="30">
        <f t="shared" si="4"/>
        <v>16.348632982758946</v>
      </c>
      <c r="E70" s="11">
        <f t="shared" si="7"/>
        <v>81.74316491379483</v>
      </c>
      <c r="F70" s="31">
        <f>+C70*'Forsendur og niðurstöður'!$B$7/4</f>
        <v>1.3610236958146835</v>
      </c>
      <c r="G70" s="30">
        <f t="shared" si="9"/>
        <v>17.70965667857363</v>
      </c>
      <c r="I70" s="9">
        <f t="shared" si="8"/>
        <v>17.70965667857363</v>
      </c>
      <c r="K70" s="20"/>
    </row>
    <row r="71" spans="1:11" ht="12.75">
      <c r="A71" s="6">
        <v>2023</v>
      </c>
      <c r="B71" s="6">
        <v>28</v>
      </c>
      <c r="C71" s="11">
        <f t="shared" si="6"/>
        <v>81.74316491379483</v>
      </c>
      <c r="D71" s="30">
        <f t="shared" si="4"/>
        <v>16.348632982758946</v>
      </c>
      <c r="E71" s="11">
        <f t="shared" si="7"/>
        <v>65.39453193103589</v>
      </c>
      <c r="F71" s="31">
        <f>+C71*'Forsendur og niðurstöður'!$B$7/4</f>
        <v>1.1341864131789032</v>
      </c>
      <c r="G71" s="30">
        <f t="shared" si="9"/>
        <v>17.48281939593785</v>
      </c>
      <c r="I71" s="9">
        <f t="shared" si="8"/>
        <v>17.48281939593785</v>
      </c>
      <c r="K71" s="20"/>
    </row>
    <row r="72" spans="1:11" ht="12.75">
      <c r="A72" s="6">
        <v>2023</v>
      </c>
      <c r="B72" s="6">
        <v>29</v>
      </c>
      <c r="C72" s="11">
        <f t="shared" si="6"/>
        <v>65.39453193103589</v>
      </c>
      <c r="D72" s="30">
        <f t="shared" si="4"/>
        <v>16.348632982758946</v>
      </c>
      <c r="E72" s="11">
        <f t="shared" si="7"/>
        <v>49.04589894827694</v>
      </c>
      <c r="F72" s="31">
        <f>+C72*'Forsendur og niðurstöður'!$B$7/4</f>
        <v>0.9073491305431229</v>
      </c>
      <c r="G72" s="30">
        <f t="shared" si="9"/>
        <v>17.255982113302068</v>
      </c>
      <c r="I72" s="9">
        <f t="shared" si="8"/>
        <v>17.255982113302068</v>
      </c>
      <c r="K72" s="20"/>
    </row>
    <row r="73" spans="1:11" ht="12.75">
      <c r="A73" s="6">
        <v>2023</v>
      </c>
      <c r="B73" s="6">
        <v>30</v>
      </c>
      <c r="C73" s="11">
        <f t="shared" si="6"/>
        <v>49.04589894827694</v>
      </c>
      <c r="D73" s="30">
        <f t="shared" si="4"/>
        <v>16.348632982758946</v>
      </c>
      <c r="E73" s="11">
        <f t="shared" si="7"/>
        <v>32.697265965518</v>
      </c>
      <c r="F73" s="31">
        <f>+C73*'Forsendur og niðurstöður'!$B$7/4</f>
        <v>0.6805118479073425</v>
      </c>
      <c r="G73" s="30">
        <f t="shared" si="9"/>
        <v>17.02914483066629</v>
      </c>
      <c r="I73" s="9">
        <f t="shared" si="8"/>
        <v>17.02914483066629</v>
      </c>
      <c r="K73" s="20"/>
    </row>
    <row r="74" spans="1:11" ht="12.75">
      <c r="A74" s="6">
        <v>2024</v>
      </c>
      <c r="B74" s="6">
        <v>31</v>
      </c>
      <c r="C74" s="11">
        <f t="shared" si="6"/>
        <v>32.697265965518</v>
      </c>
      <c r="D74" s="30">
        <f t="shared" si="4"/>
        <v>16.348632982758946</v>
      </c>
      <c r="E74" s="11">
        <f t="shared" si="7"/>
        <v>16.348632982759053</v>
      </c>
      <c r="F74" s="31">
        <f>+C74*'Forsendur og niðurstöður'!$B$7/4</f>
        <v>0.45367456527156225</v>
      </c>
      <c r="G74" s="30">
        <f t="shared" si="9"/>
        <v>16.80230754803051</v>
      </c>
      <c r="I74" s="9">
        <f t="shared" si="8"/>
        <v>16.80230754803051</v>
      </c>
      <c r="K74" s="20"/>
    </row>
    <row r="75" spans="1:11" ht="13.5" thickBot="1">
      <c r="A75" s="59">
        <v>2024</v>
      </c>
      <c r="B75" s="59">
        <v>32</v>
      </c>
      <c r="C75" s="62">
        <f>+E74</f>
        <v>16.348632982759053</v>
      </c>
      <c r="D75" s="63">
        <f t="shared" si="4"/>
        <v>16.348632982758946</v>
      </c>
      <c r="E75" s="62">
        <f t="shared" si="7"/>
        <v>1.0658141036401503E-13</v>
      </c>
      <c r="F75" s="64">
        <f>+C75*'Forsendur og niðurstöður'!$B$7/4</f>
        <v>0.22683728263578187</v>
      </c>
      <c r="G75" s="63">
        <f t="shared" si="9"/>
        <v>16.575470265394728</v>
      </c>
      <c r="H75" s="43"/>
      <c r="I75" s="65">
        <f>+G75-H75</f>
        <v>16.575470265394728</v>
      </c>
      <c r="K75" s="20"/>
    </row>
    <row r="76" spans="1:11" ht="12.75">
      <c r="A76" s="6"/>
      <c r="B76" s="6"/>
      <c r="C76" s="11"/>
      <c r="D76" s="30" t="s">
        <v>64</v>
      </c>
      <c r="E76" s="11"/>
      <c r="F76" s="31" t="s">
        <v>65</v>
      </c>
      <c r="G76" s="30" t="s">
        <v>65</v>
      </c>
      <c r="I76" s="9" t="s">
        <v>64</v>
      </c>
      <c r="K76" s="20"/>
    </row>
    <row r="77" spans="1:3" ht="12.75">
      <c r="A77" s="3" t="s">
        <v>57</v>
      </c>
      <c r="B77" s="3" t="s">
        <v>26</v>
      </c>
      <c r="C77" s="3"/>
    </row>
    <row r="78" spans="1:3" ht="12.75">
      <c r="A78" s="6">
        <v>2016</v>
      </c>
      <c r="B78" s="10">
        <f>SUMIF($A$44:$A$75,A78,$I$44:$I$75)</f>
        <v>30.05601477157206</v>
      </c>
      <c r="C78" s="31"/>
    </row>
    <row r="79" spans="1:3" ht="12.75">
      <c r="A79" s="6">
        <v>2017</v>
      </c>
      <c r="B79" s="10">
        <f aca="true" t="shared" si="10" ref="B79:B86">SUMIF($A$44:$A$75,A79,$I$44:$I$75)</f>
        <v>57.38998215151475</v>
      </c>
      <c r="C79" s="31"/>
    </row>
    <row r="80" spans="1:3" ht="12.75">
      <c r="A80" s="6">
        <v>2018</v>
      </c>
      <c r="B80" s="10">
        <f t="shared" si="10"/>
        <v>53.760585629342266</v>
      </c>
      <c r="C80" s="31"/>
    </row>
    <row r="81" spans="1:3" ht="12.75">
      <c r="A81" s="6">
        <v>2019</v>
      </c>
      <c r="B81" s="10">
        <f t="shared" si="10"/>
        <v>50.13118910716978</v>
      </c>
      <c r="C81" s="31"/>
    </row>
    <row r="82" spans="1:3" ht="12.75">
      <c r="A82" s="6">
        <v>2020</v>
      </c>
      <c r="B82" s="10">
        <f t="shared" si="10"/>
        <v>63.43379258499729</v>
      </c>
      <c r="C82" s="31"/>
    </row>
    <row r="83" spans="1:3" ht="12.75">
      <c r="A83" s="6">
        <v>2021</v>
      </c>
      <c r="B83" s="10">
        <f t="shared" si="10"/>
        <v>76.73639606282481</v>
      </c>
      <c r="C83" s="31"/>
    </row>
    <row r="84" spans="1:3" ht="12.75">
      <c r="A84" s="6">
        <v>2022</v>
      </c>
      <c r="B84" s="10">
        <f t="shared" si="10"/>
        <v>73.10699954065232</v>
      </c>
      <c r="C84" s="31"/>
    </row>
    <row r="85" spans="1:3" ht="12.75">
      <c r="A85" s="6">
        <v>2023</v>
      </c>
      <c r="B85" s="10">
        <f t="shared" si="10"/>
        <v>69.47760301847984</v>
      </c>
      <c r="C85" s="31"/>
    </row>
    <row r="86" spans="1:2" ht="13.5" thickBot="1">
      <c r="A86" s="59">
        <v>2024</v>
      </c>
      <c r="B86" s="60">
        <f t="shared" si="10"/>
        <v>33.37777781342524</v>
      </c>
    </row>
    <row r="87" spans="1:2" ht="12.75">
      <c r="A87" s="58" t="s">
        <v>63</v>
      </c>
      <c r="B87" s="10">
        <f>SUM(B78:B86)</f>
        <v>507.47034067997834</v>
      </c>
    </row>
  </sheetData>
  <printOptions/>
  <pageMargins left="0.7086614173228347" right="0.35433070866141736" top="0.5118110236220472" bottom="0.7480314960629921" header="0.31496062992125984" footer="0.31496062992125984"/>
  <pageSetup orientation="portrait"/>
  <rowBreaks count="1" manualBreakCount="1">
    <brk id="4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London School of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Danielsson</dc:creator>
  <cp:keywords/>
  <dc:description/>
  <cp:lastModifiedBy>Jon Danielsson</cp:lastModifiedBy>
  <cp:lastPrinted>2010-01-10T20:26:52Z</cp:lastPrinted>
  <dcterms:created xsi:type="dcterms:W3CDTF">2010-01-07T18:27:04Z</dcterms:created>
  <dcterms:modified xsi:type="dcterms:W3CDTF">2010-01-15T10:56:21Z</dcterms:modified>
  <cp:category/>
  <cp:version/>
  <cp:contentType/>
  <cp:contentStatus/>
</cp:coreProperties>
</file>